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O:\Janitorial Service\"/>
    </mc:Choice>
  </mc:AlternateContent>
  <xr:revisionPtr revIDLastSave="0" documentId="14_{31FBA714-E315-4702-BDA9-BAD8DD5B7E37}" xr6:coauthVersionLast="45" xr6:coauthVersionMax="45" xr10:uidLastSave="{00000000-0000-0000-0000-000000000000}"/>
  <bookViews>
    <workbookView xWindow="-120" yWindow="-120" windowWidth="25440" windowHeight="15390" xr2:uid="{00000000-000D-0000-FFFF-FFFF00000000}"/>
  </bookViews>
  <sheets>
    <sheet name="RFP No. P19009" sheetId="4" r:id="rId1"/>
    <sheet name="Sheet1" sheetId="1" r:id="rId2"/>
    <sheet name="Sheet2" sheetId="2" r:id="rId3"/>
    <sheet name="Sheet3" sheetId="3" r:id="rId4"/>
  </sheets>
  <definedNames>
    <definedName name="_xlnm.Print_Area" localSheetId="0">'RFP No. P19009'!$B$1:$AE$34</definedName>
    <definedName name="_xlnm.Print_Area" localSheetId="1">Sheet1!$A$1:$AC$41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8" i="4" l="1"/>
  <c r="Y8" i="4"/>
  <c r="U8" i="4"/>
  <c r="Q8" i="4"/>
  <c r="M8" i="4"/>
  <c r="I8" i="4"/>
  <c r="E8" i="4"/>
  <c r="AC26" i="4"/>
  <c r="AC25" i="4"/>
  <c r="Y26" i="4"/>
  <c r="Y25" i="4"/>
  <c r="U26" i="4"/>
  <c r="U25" i="4"/>
  <c r="Q26" i="4"/>
  <c r="Q25" i="4"/>
  <c r="M26" i="4"/>
  <c r="M25" i="4"/>
  <c r="I26" i="4"/>
  <c r="I25" i="4"/>
  <c r="E26" i="4"/>
  <c r="E25" i="4"/>
  <c r="AB22" i="4"/>
  <c r="AC21" i="4"/>
  <c r="AC20" i="4"/>
  <c r="AC19" i="4"/>
  <c r="AC18" i="4"/>
  <c r="AC17" i="4"/>
  <c r="AC16" i="4"/>
  <c r="AC15" i="4"/>
  <c r="AC14" i="4"/>
  <c r="AC13" i="4"/>
  <c r="AC12" i="4"/>
  <c r="AC11" i="4"/>
  <c r="AC10" i="4"/>
  <c r="AC9" i="4"/>
  <c r="AC7" i="4"/>
  <c r="AC6" i="4"/>
  <c r="X22" i="4"/>
  <c r="Y21" i="4"/>
  <c r="Y20" i="4"/>
  <c r="Y19" i="4"/>
  <c r="Y18" i="4"/>
  <c r="Y17" i="4"/>
  <c r="Y16" i="4"/>
  <c r="Y15" i="4"/>
  <c r="Y14" i="4"/>
  <c r="Y13" i="4"/>
  <c r="Y12" i="4"/>
  <c r="Y11" i="4"/>
  <c r="Y10" i="4"/>
  <c r="Y9" i="4"/>
  <c r="Y7" i="4"/>
  <c r="Y6" i="4"/>
  <c r="T22" i="4"/>
  <c r="U21" i="4"/>
  <c r="U20" i="4"/>
  <c r="U19" i="4"/>
  <c r="U18" i="4"/>
  <c r="U17" i="4"/>
  <c r="U16" i="4"/>
  <c r="U15" i="4"/>
  <c r="U14" i="4"/>
  <c r="U13" i="4"/>
  <c r="U12" i="4"/>
  <c r="U11" i="4"/>
  <c r="U10" i="4"/>
  <c r="U9" i="4"/>
  <c r="U7" i="4"/>
  <c r="U6" i="4"/>
  <c r="P22" i="4"/>
  <c r="Q21" i="4"/>
  <c r="Q20" i="4"/>
  <c r="Q19" i="4"/>
  <c r="Q18" i="4"/>
  <c r="Q17" i="4"/>
  <c r="Q16" i="4"/>
  <c r="Q15" i="4"/>
  <c r="Q14" i="4"/>
  <c r="Q13" i="4"/>
  <c r="Q12" i="4"/>
  <c r="Q11" i="4"/>
  <c r="Q10" i="4"/>
  <c r="Q9" i="4"/>
  <c r="Q7" i="4"/>
  <c r="Q6" i="4"/>
  <c r="L22" i="4"/>
  <c r="M21" i="4"/>
  <c r="M20" i="4"/>
  <c r="M19" i="4"/>
  <c r="M18" i="4"/>
  <c r="M17" i="4"/>
  <c r="M16" i="4"/>
  <c r="M15" i="4"/>
  <c r="M14" i="4"/>
  <c r="M13" i="4"/>
  <c r="M12" i="4"/>
  <c r="M11" i="4"/>
  <c r="M10" i="4"/>
  <c r="M9" i="4"/>
  <c r="M7" i="4"/>
  <c r="M6" i="4"/>
  <c r="H22" i="4"/>
  <c r="I21" i="4"/>
  <c r="I20" i="4"/>
  <c r="I19" i="4"/>
  <c r="I18" i="4"/>
  <c r="I17" i="4"/>
  <c r="I16" i="4"/>
  <c r="I15" i="4"/>
  <c r="I14" i="4"/>
  <c r="I13" i="4"/>
  <c r="I12" i="4"/>
  <c r="I11" i="4"/>
  <c r="I10" i="4"/>
  <c r="I9" i="4"/>
  <c r="I7" i="4"/>
  <c r="I6" i="4"/>
  <c r="AE26" i="4" l="1"/>
  <c r="AE25" i="4"/>
  <c r="AE8" i="4"/>
  <c r="I27" i="4"/>
  <c r="I31" i="4" s="1"/>
  <c r="U27" i="4"/>
  <c r="U31" i="4" s="1"/>
  <c r="I22" i="4"/>
  <c r="I30" i="4" s="1"/>
  <c r="Y27" i="4"/>
  <c r="Y31" i="4" s="1"/>
  <c r="M22" i="4"/>
  <c r="M30" i="4" s="1"/>
  <c r="AC22" i="4"/>
  <c r="AC30" i="4" s="1"/>
  <c r="AC27" i="4"/>
  <c r="AC31" i="4" s="1"/>
  <c r="Q22" i="4"/>
  <c r="Q30" i="4" s="1"/>
  <c r="Q27" i="4"/>
  <c r="Q31" i="4" s="1"/>
  <c r="U22" i="4"/>
  <c r="U30" i="4" s="1"/>
  <c r="Y22" i="4"/>
  <c r="Y30" i="4" s="1"/>
  <c r="M27" i="4"/>
  <c r="M31" i="4" s="1"/>
  <c r="E27" i="4"/>
  <c r="E31" i="4" s="1"/>
  <c r="E15" i="4"/>
  <c r="AE15" i="4" s="1"/>
  <c r="E16" i="4"/>
  <c r="AE16" i="4" s="1"/>
  <c r="E17" i="4"/>
  <c r="AE17" i="4" s="1"/>
  <c r="E18" i="4"/>
  <c r="AE18" i="4" s="1"/>
  <c r="E19" i="4"/>
  <c r="AE19" i="4" s="1"/>
  <c r="E20" i="4"/>
  <c r="AE20" i="4" s="1"/>
  <c r="E21" i="4"/>
  <c r="AE21" i="4" s="1"/>
  <c r="E14" i="4"/>
  <c r="AE14" i="4" s="1"/>
  <c r="E13" i="4"/>
  <c r="AE13" i="4" s="1"/>
  <c r="E12" i="4"/>
  <c r="AE12" i="4" s="1"/>
  <c r="E11" i="4"/>
  <c r="AE11" i="4" s="1"/>
  <c r="E10" i="4"/>
  <c r="AE10" i="4" s="1"/>
  <c r="E9" i="4"/>
  <c r="AE9" i="4" s="1"/>
  <c r="E7" i="4"/>
  <c r="AE7" i="4" s="1"/>
  <c r="E6" i="4"/>
  <c r="E22" i="4" l="1"/>
  <c r="AE6" i="4"/>
  <c r="AE22" i="4" s="1"/>
  <c r="AE30" i="4" s="1"/>
  <c r="AE27" i="4"/>
  <c r="AE31" i="4" s="1"/>
  <c r="Y32" i="4"/>
  <c r="Y33" i="4" s="1"/>
  <c r="Y34" i="4" s="1"/>
  <c r="I32" i="4"/>
  <c r="U32" i="4"/>
  <c r="U33" i="4" s="1"/>
  <c r="U34" i="4" s="1"/>
  <c r="M32" i="4"/>
  <c r="M33" i="4" s="1"/>
  <c r="M34" i="4" s="1"/>
  <c r="AC32" i="4"/>
  <c r="Q32" i="4"/>
  <c r="Q33" i="4" s="1"/>
  <c r="Q34" i="4" s="1"/>
  <c r="AA26" i="1"/>
  <c r="Y7" i="1"/>
  <c r="AE32" i="4" l="1"/>
  <c r="AE33" i="4" s="1"/>
  <c r="AE34" i="4" s="1"/>
  <c r="AC33" i="4"/>
  <c r="AC34" i="4" s="1"/>
  <c r="I33" i="4"/>
  <c r="I34" i="4" s="1"/>
  <c r="Y9" i="1"/>
  <c r="F17" i="1"/>
  <c r="F18" i="1"/>
  <c r="F19" i="1"/>
  <c r="F20" i="1"/>
  <c r="F21" i="1"/>
  <c r="F22" i="1"/>
  <c r="F23" i="1"/>
  <c r="F24" i="1"/>
  <c r="F25" i="1"/>
  <c r="F26" i="1"/>
  <c r="F27" i="1"/>
  <c r="F16" i="1"/>
  <c r="G1" i="1"/>
  <c r="AB20" i="1" l="1"/>
  <c r="AC13" i="1"/>
  <c r="AC16" i="1" s="1"/>
  <c r="AC17" i="1" s="1"/>
  <c r="Z8" i="1"/>
  <c r="AA19" i="1" l="1"/>
  <c r="R37" i="1"/>
  <c r="R38" i="1"/>
  <c r="R36" i="1"/>
  <c r="P37" i="1"/>
  <c r="P38" i="1"/>
  <c r="P36" i="1"/>
  <c r="N37" i="1"/>
  <c r="N38" i="1"/>
  <c r="N36" i="1"/>
  <c r="I37" i="1"/>
  <c r="I38" i="1"/>
  <c r="I36" i="1"/>
  <c r="AA20" i="1" l="1"/>
  <c r="AB19" i="1"/>
  <c r="P40" i="1"/>
  <c r="N40" i="1"/>
  <c r="I40" i="1"/>
  <c r="R40" i="1"/>
  <c r="Q6" i="1"/>
  <c r="Q4" i="1"/>
  <c r="W11" i="1"/>
  <c r="W12" i="1"/>
  <c r="W13" i="1"/>
  <c r="W7" i="1"/>
  <c r="W5" i="1"/>
  <c r="Q31" i="1"/>
  <c r="L13" i="1" l="1"/>
  <c r="L10" i="1"/>
  <c r="L7" i="1"/>
  <c r="L5" i="1"/>
  <c r="H6" i="1"/>
  <c r="H4" i="1"/>
  <c r="Y4" i="1" s="1"/>
  <c r="P4" i="1" s="1"/>
  <c r="R4" i="1" s="1"/>
  <c r="P7" i="1"/>
  <c r="R7" i="1" s="1"/>
  <c r="P5" i="1"/>
  <c r="R5" i="1" s="1"/>
  <c r="U21" i="1"/>
  <c r="U20" i="1"/>
  <c r="U19" i="1"/>
  <c r="U18" i="1"/>
  <c r="U17" i="1"/>
  <c r="U16" i="1"/>
  <c r="U22" i="1"/>
  <c r="U23" i="1"/>
  <c r="U24" i="1"/>
  <c r="U25" i="1"/>
  <c r="U27" i="1"/>
  <c r="U26" i="1"/>
  <c r="U13" i="1"/>
  <c r="U10" i="1"/>
  <c r="U5" i="1"/>
  <c r="U7" i="1"/>
  <c r="W10" i="1" l="1"/>
  <c r="I4" i="1"/>
  <c r="Y6" i="1"/>
  <c r="P6" i="1" s="1"/>
  <c r="R6" i="1" s="1"/>
  <c r="U31" i="1"/>
  <c r="H7" i="1"/>
  <c r="I7" i="1" s="1"/>
  <c r="H5" i="1"/>
  <c r="I5" i="1" s="1"/>
  <c r="I6" i="1" l="1"/>
  <c r="H10" i="1"/>
  <c r="P10" i="1"/>
  <c r="Q29" i="1" l="1"/>
  <c r="O29" i="1"/>
  <c r="O31" i="1" s="1"/>
  <c r="P13" i="1"/>
  <c r="R13" i="1" s="1"/>
  <c r="R10" i="1"/>
  <c r="T29" i="1"/>
  <c r="T31" i="1" s="1"/>
  <c r="K13" i="1"/>
  <c r="K10" i="1"/>
  <c r="I13" i="1"/>
  <c r="I10" i="1"/>
  <c r="H29" i="1"/>
  <c r="H31" i="1" s="1"/>
  <c r="G31" i="1"/>
  <c r="X29" i="1"/>
  <c r="X71" i="1" l="1"/>
  <c r="Y71" i="1" s="1"/>
  <c r="Z71" i="1" s="1"/>
  <c r="X70" i="1"/>
  <c r="Y70" i="1" s="1"/>
  <c r="Z70" i="1" s="1"/>
  <c r="X69" i="1"/>
  <c r="Y69" i="1" s="1"/>
  <c r="Z69" i="1" s="1"/>
  <c r="X68" i="1"/>
  <c r="Y68" i="1" s="1"/>
  <c r="Z68" i="1" s="1"/>
  <c r="X67" i="1"/>
  <c r="Y67" i="1" s="1"/>
  <c r="Z67" i="1" s="1"/>
  <c r="X66" i="1"/>
  <c r="Y66" i="1" s="1"/>
  <c r="Z66" i="1" s="1"/>
  <c r="X65" i="1"/>
  <c r="Y65" i="1" s="1"/>
  <c r="X61" i="1"/>
  <c r="Y61" i="1" s="1"/>
  <c r="Z61" i="1" s="1"/>
  <c r="X60" i="1"/>
  <c r="Y60" i="1" s="1"/>
  <c r="Z60" i="1" s="1"/>
  <c r="X59" i="1"/>
  <c r="Y59" i="1" s="1"/>
  <c r="Z59" i="1" s="1"/>
  <c r="X58" i="1"/>
  <c r="Y58" i="1" s="1"/>
  <c r="Z58" i="1" s="1"/>
  <c r="X57" i="1"/>
  <c r="Y57" i="1" s="1"/>
  <c r="Z57" i="1" s="1"/>
  <c r="X56" i="1"/>
  <c r="Y56" i="1" s="1"/>
  <c r="Z56" i="1" s="1"/>
  <c r="X55" i="1"/>
  <c r="Y55" i="1" s="1"/>
  <c r="Z55" i="1" s="1"/>
  <c r="X46" i="1"/>
  <c r="Y46" i="1" s="1"/>
  <c r="X47" i="1"/>
  <c r="Y47" i="1" s="1"/>
  <c r="Z47" i="1" s="1"/>
  <c r="X48" i="1"/>
  <c r="Y48" i="1" s="1"/>
  <c r="Z48" i="1" s="1"/>
  <c r="X49" i="1"/>
  <c r="Y49" i="1" s="1"/>
  <c r="Z49" i="1" s="1"/>
  <c r="X50" i="1"/>
  <c r="Y50" i="1" s="1"/>
  <c r="Z50" i="1" s="1"/>
  <c r="X51" i="1"/>
  <c r="Y51" i="1" s="1"/>
  <c r="Z51" i="1" s="1"/>
  <c r="X45" i="1"/>
  <c r="Y45" i="1" s="1"/>
  <c r="Z45" i="1" s="1"/>
  <c r="Z63" i="1" l="1"/>
  <c r="Z46" i="1"/>
  <c r="Z53" i="1" s="1"/>
  <c r="Y53" i="1"/>
  <c r="Y73" i="1"/>
  <c r="X73" i="1"/>
  <c r="Z65" i="1"/>
  <c r="Z73" i="1" s="1"/>
  <c r="X53" i="1"/>
  <c r="X63" i="1"/>
  <c r="Y63" i="1"/>
  <c r="Y27" i="1"/>
  <c r="Y26" i="1"/>
  <c r="X75" i="1" l="1"/>
  <c r="Y30" i="1"/>
  <c r="Y29" i="1"/>
  <c r="Y31" i="1" l="1"/>
  <c r="X31" i="1"/>
  <c r="I31" i="1" s="1"/>
  <c r="U29" i="1"/>
  <c r="J29" i="1"/>
  <c r="J31" i="1" s="1"/>
  <c r="V31" i="1"/>
  <c r="P29" i="1"/>
  <c r="I29" i="1"/>
  <c r="R29" i="1"/>
  <c r="K29" i="1" l="1"/>
  <c r="M29" i="1" s="1"/>
  <c r="M31" i="1" s="1"/>
  <c r="L31" i="1" s="1"/>
  <c r="K31" i="1" l="1"/>
  <c r="D22" i="4"/>
  <c r="E30" i="4"/>
  <c r="E32" i="4" s="1"/>
  <c r="E33" i="4" l="1"/>
  <c r="E34" i="4" s="1"/>
</calcChain>
</file>

<file path=xl/sharedStrings.xml><?xml version="1.0" encoding="utf-8"?>
<sst xmlns="http://schemas.openxmlformats.org/spreadsheetml/2006/main" count="227" uniqueCount="147">
  <si>
    <t>Service Calls</t>
  </si>
  <si>
    <t>Annual Proposal</t>
  </si>
  <si>
    <t xml:space="preserve">Driver’s Restroom Eastridge Transit Center </t>
  </si>
  <si>
    <t>Daily 3X/  Weekly 1X/ Monthly 1X</t>
  </si>
  <si>
    <t>Driver’s Restroom Basset Street</t>
  </si>
  <si>
    <t>Daily 2X/  Weekly 1X/ Monthly 1X</t>
  </si>
  <si>
    <t>Driver’s Restroom Lockheed Martin</t>
  </si>
  <si>
    <t>Daily 1X/  Weekly 1X/ Monthly 1X</t>
  </si>
  <si>
    <t>Driver’s Restroom Capitol Station</t>
  </si>
  <si>
    <t>Driver’s Restroom Mt. View Transit Center</t>
  </si>
  <si>
    <t>Driver’s Restroom West Valley Transit Center</t>
  </si>
  <si>
    <t>Driver’s Restroom Great Mall Transit Center</t>
  </si>
  <si>
    <t>Driver’s Restroom Alum Rock Park &amp; Ride</t>
  </si>
  <si>
    <t>Driver’s Restroom Winchester Transit Center</t>
  </si>
  <si>
    <t>Driver’s Restroom Frances Street Transit Center</t>
  </si>
  <si>
    <t>Weekly 1-5X / Montly 1X</t>
  </si>
  <si>
    <t>Driver’s Restroom Penetencia Creek Transit Center</t>
  </si>
  <si>
    <t>Driver’s Restroom Gilroy Transit Center</t>
  </si>
  <si>
    <t>Total w/.25% net 20 day discount</t>
  </si>
  <si>
    <t>LABOR (Specify Classification or Task)</t>
  </si>
  <si>
    <t>BRT Offices</t>
  </si>
  <si>
    <t>Weekly 3X / Monthly 1X</t>
  </si>
  <si>
    <t xml:space="preserve">SUPPLIES </t>
  </si>
  <si>
    <t>Supply Listing</t>
  </si>
  <si>
    <t>Toilet Paper</t>
  </si>
  <si>
    <t>Quantity</t>
  </si>
  <si>
    <t>Toilet Seat Cover</t>
  </si>
  <si>
    <t>Paper Towels</t>
  </si>
  <si>
    <t>Trash Liners</t>
  </si>
  <si>
    <t>Liquid Hand Soap</t>
  </si>
  <si>
    <t>Sanitary Napkins</t>
  </si>
  <si>
    <t>Tampons</t>
  </si>
  <si>
    <t>Cost</t>
  </si>
  <si>
    <t>Total Proposal       "4 Years"</t>
  </si>
  <si>
    <t>BRT TOTAL SUPPLY COSTS</t>
  </si>
  <si>
    <t>Downtown Customer Service Center</t>
  </si>
  <si>
    <t>VTA Transit Centers</t>
  </si>
  <si>
    <t>Supplies as a % to Total Cost</t>
  </si>
  <si>
    <t>Annual Supply Cost</t>
  </si>
  <si>
    <t>Supply as a % of Total Job Cost</t>
  </si>
  <si>
    <t>Transit Center's Subtotal</t>
  </si>
  <si>
    <t>Total Supply Cost Full Term</t>
  </si>
  <si>
    <t>Labor Cost &amp; Profit</t>
  </si>
  <si>
    <t xml:space="preserve">Gross Profit% includes Overhead Rate </t>
  </si>
  <si>
    <t>Total Job Labor Cost $</t>
  </si>
  <si>
    <t>Total Hours/Job</t>
  </si>
  <si>
    <t>Gross Profit includes Overhead Cost $</t>
  </si>
  <si>
    <t>Square Footage</t>
  </si>
  <si>
    <t>Cost/Visit</t>
  </si>
  <si>
    <t># of Weekly Visits</t>
  </si>
  <si>
    <t>Total # of Visits</t>
  </si>
  <si>
    <t># of Hours/Visit</t>
  </si>
  <si>
    <t>Downtown Customer Service Center (4 yrs. 8 mos.) All work performed after 5PM</t>
  </si>
  <si>
    <t>Avg/  Hourly Charge</t>
  </si>
  <si>
    <t>Price Reasonableness Determination</t>
  </si>
  <si>
    <t>ParaTransit Office-Zanker Road</t>
  </si>
  <si>
    <t>Paratransit Office-Younger Avenue</t>
  </si>
  <si>
    <t>Weekly 1-5X/Monthly 1X</t>
  </si>
  <si>
    <t>Weekly 1-7X/Monthly 1X</t>
  </si>
  <si>
    <t>Square Footage Cost/Year/# of visits per day</t>
  </si>
  <si>
    <t>ICE ParaTransit Office-Zanker Road</t>
  </si>
  <si>
    <t>ICE ParaTransit Office-Younger Avenue</t>
  </si>
  <si>
    <t>N/A</t>
  </si>
  <si>
    <t>Total Job (Labor &amp; Profit) Hourly Rate</t>
  </si>
  <si>
    <t>Transit Center Subtotal</t>
  </si>
  <si>
    <t>Transit Center, BRT, Downtown Service Center Subtotal</t>
  </si>
  <si>
    <t>Pricing is fair &amp; reasonable as compared to historical pricing and considering after 5PM hourly wage and new Obama Care impact on hourly wage.  Do not look at square footage as TransPacific doesn't clean the entire 6,000 sf of the building.</t>
  </si>
  <si>
    <t>Pricing is fair &amp; reasonable as compared to historical pricing and considering new Obama Care impact on hourly wage; BRT has more monthly items to be managed thus cost per visit isn't accurate as it only measures weekly visits.</t>
  </si>
  <si>
    <t>24/7 Emergency Service Calls-VTA Wide</t>
  </si>
  <si>
    <t>Regular Business Hours</t>
  </si>
  <si>
    <t>Swing Shift Hours</t>
  </si>
  <si>
    <t>Grave Shift Hours</t>
  </si>
  <si>
    <t>Estimated # of calls per month</t>
  </si>
  <si>
    <t>ICE</t>
  </si>
  <si>
    <t>ICE Extended for remaining term of Contract 25.5 Mos.</t>
  </si>
  <si>
    <t>Total Cost of 24/7 Service Calls</t>
  </si>
  <si>
    <t>TransPacific Building Maintenance Quote</t>
  </si>
  <si>
    <t>TransPacific Building Maintenance Extended for remaining term of Contract 25.5 Mos.</t>
  </si>
  <si>
    <t>SWA Service Group Quote</t>
  </si>
  <si>
    <t>SWA Extended for remaining term of Contract 25.5 Mos.</t>
  </si>
  <si>
    <t>Impec Group Quote</t>
  </si>
  <si>
    <t>Impec Group Extended for remaining term of Contract 25.5 Mos.</t>
  </si>
  <si>
    <t>SUBMITTED PRICING FROM TRANSPACIFIC BUILDING MAINTENANCE FOR 24/7 EMERGENCY SERVICE CALLS IS FAIR AND REASONABLE AS COMPARED TO THE ICE AND COMPETITIVE QUOTES.</t>
  </si>
  <si>
    <t>SUBMITTED PRICING FROM TRANSPACIFIC BUILDING MAINTENANCE FOR SERVICING VTA'S PARATRANSIT OFFICES (YOUNGER AND ZANKER) IS FAIR AND REASONABLE AS COMPARED TO THE ICE AND HISTORICAL PRICING.</t>
  </si>
  <si>
    <t>VTA HISTORICAL PRICING LISTED BELOW</t>
  </si>
  <si>
    <t>Original Contract</t>
  </si>
  <si>
    <t>Amendment #1</t>
  </si>
  <si>
    <t>Amendment #2</t>
  </si>
  <si>
    <t>Amendment #3</t>
  </si>
  <si>
    <t>Amendment #3 EH</t>
  </si>
  <si>
    <t>Hours</t>
  </si>
  <si>
    <t>Pricing is fair &amp; reasonable as compared to historical pricing and comparisons on a avg. hourly charge and sq footage basis.</t>
  </si>
  <si>
    <t>Est. # of Calls for remaining term of contract 26 Mos.</t>
  </si>
  <si>
    <t>24/7 Emergency Service Calls</t>
  </si>
  <si>
    <t>Cost / Hour</t>
  </si>
  <si>
    <t>Estimated Hours for 24/7 Service Calls for Term of Contract</t>
  </si>
  <si>
    <t>Estimated Monthly Cost</t>
  </si>
  <si>
    <t>Estimated Annual Proposal</t>
  </si>
  <si>
    <t>Estimated Total Proposal for Remaining Contract Term</t>
  </si>
  <si>
    <t>Estimated Total 5 Year Proposal</t>
  </si>
  <si>
    <t>Estimated Total w/.25% net 20 day discount</t>
  </si>
  <si>
    <t>TransPacific Building Maintenance Pricing Evaluation for Amendment No. 4</t>
  </si>
  <si>
    <t>Downtown Customer Service Center. All work performed after 5PM</t>
  </si>
  <si>
    <t>Weekly 1-5X/Monthly 1X/Yearly 4X</t>
  </si>
  <si>
    <t>Milpitas BART Transit Center</t>
  </si>
  <si>
    <t>Daily 1-3X/  Weekly 1X/ Monthly 1X</t>
  </si>
  <si>
    <t>Berryessa BART Transit Center</t>
  </si>
  <si>
    <t>Request for Proposal No. P19009</t>
  </si>
  <si>
    <t>FORM 4. COST PROPOSAL FORM</t>
  </si>
  <si>
    <t>Estimated Hours for 24/7 Service Calls for Year 1</t>
  </si>
  <si>
    <t>Year 1 Cost / Hour</t>
  </si>
  <si>
    <t>Estimated Emergency Service Subtotal</t>
  </si>
  <si>
    <t>Regular Business Hours (6:01AM - 6:00 PM Mon-Sun)</t>
  </si>
  <si>
    <t>Swing Shift Hours (6:01 PM - 12:00 AM Mon-Sun)</t>
  </si>
  <si>
    <t>Estimated Scheduled Service Subtotal</t>
  </si>
  <si>
    <t>TOTAL CONTRACT ESTIMATED VALUE</t>
  </si>
  <si>
    <t>Estimated Year 1 Cost</t>
  </si>
  <si>
    <t>Estimated Hours for 24/7 Service Calls for Year 2</t>
  </si>
  <si>
    <t>Year 2 Cost / Hour</t>
  </si>
  <si>
    <t>Estimated Year 2 Cost</t>
  </si>
  <si>
    <t>Estimated Hours for 24/7 Service Calls for Year 3</t>
  </si>
  <si>
    <t>Year 3 Cost / Hour</t>
  </si>
  <si>
    <t>Estimated Year 3 Cost</t>
  </si>
  <si>
    <t>Estimated Hours for 24/7 Service Calls for Year 4</t>
  </si>
  <si>
    <t>Year 4 Cost / Hour</t>
  </si>
  <si>
    <t>Estimated Year 4 Cost</t>
  </si>
  <si>
    <t>Estimated Hours for 24/7 Service Calls for Year 5</t>
  </si>
  <si>
    <t>Year 5 Cost / Hour</t>
  </si>
  <si>
    <t>Estimated Year 5 Cost</t>
  </si>
  <si>
    <t>Estimated Hours for 24/7 Service Calls for Year 6</t>
  </si>
  <si>
    <t>Year 6 Cost / Hour</t>
  </si>
  <si>
    <t>Estimated Year 6 Cost</t>
  </si>
  <si>
    <t>Estimated Hours for 24/7 Service Calls for Year 7</t>
  </si>
  <si>
    <t>Year 7 Cost / Hour</t>
  </si>
  <si>
    <t>Estimated Year 7 Cost</t>
  </si>
  <si>
    <t>Year 1 Monthly Service Cost</t>
  </si>
  <si>
    <t>Year 2 Monthly Service Cost</t>
  </si>
  <si>
    <t>Year 3 Monthly Service Cost</t>
  </si>
  <si>
    <t>Year 4 Monthly Service Cost</t>
  </si>
  <si>
    <t>Year 5 Monthly Service Cost</t>
  </si>
  <si>
    <t>Year 6 Monthly Service Cost</t>
  </si>
  <si>
    <t>Year 7 Monthly Service Cost</t>
  </si>
  <si>
    <t>Estimated Years 1 - 7 Cost</t>
  </si>
  <si>
    <t>TOTAL CASH DISCOUNT</t>
  </si>
  <si>
    <t>TOTAL CONTRACT ESTIMATED VALUE W/ CASH DISCOUNT</t>
  </si>
  <si>
    <t>Cash Discount, example 2% if terms are 2% net 15, then enter 2%</t>
  </si>
  <si>
    <t>Proposer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</si>
</sst>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quot;$&quot;#,##0.00"/>
    <numFmt numFmtId="165" formatCode="0.0"/>
  </numFmts>
  <fonts count="12" x14ac:knownFonts="1">
    <font>
      <sz val="11"/>
      <color theme="1"/>
      <name val="Calibri"/>
      <family val="2"/>
      <scheme val="minor"/>
    </font>
    <font>
      <b/>
      <sz val="11"/>
      <color theme="1"/>
      <name val="Calibri"/>
      <family val="2"/>
      <scheme val="minor"/>
    </font>
    <font>
      <b/>
      <sz val="12"/>
      <color theme="1"/>
      <name val="Times New Roman"/>
      <family val="1"/>
    </font>
    <font>
      <sz val="10"/>
      <color theme="1"/>
      <name val="Times New Roman"/>
      <family val="1"/>
    </font>
    <font>
      <b/>
      <u/>
      <sz val="11"/>
      <color theme="1"/>
      <name val="Calibri"/>
      <family val="2"/>
      <scheme val="minor"/>
    </font>
    <font>
      <b/>
      <i/>
      <sz val="11"/>
      <color theme="1"/>
      <name val="Calibri"/>
      <family val="2"/>
      <scheme val="minor"/>
    </font>
    <font>
      <b/>
      <i/>
      <u/>
      <sz val="11"/>
      <color theme="1"/>
      <name val="Calibri"/>
      <family val="2"/>
      <scheme val="minor"/>
    </font>
    <font>
      <b/>
      <sz val="10"/>
      <color theme="1"/>
      <name val="Times New Roman"/>
      <family val="1"/>
    </font>
    <font>
      <b/>
      <sz val="14"/>
      <color theme="1"/>
      <name val="Calibri"/>
      <family val="2"/>
      <scheme val="minor"/>
    </font>
    <font>
      <sz val="11"/>
      <color theme="1"/>
      <name val="Times New Roman"/>
      <family val="1"/>
    </font>
    <font>
      <b/>
      <sz val="11"/>
      <color theme="1"/>
      <name val="Times New Roman"/>
      <family val="1"/>
    </font>
    <font>
      <b/>
      <u/>
      <sz val="11"/>
      <color theme="1"/>
      <name val="Times New Roman"/>
      <family val="1"/>
    </font>
  </fonts>
  <fills count="7">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s>
  <borders count="28">
    <border>
      <left/>
      <right/>
      <top/>
      <bottom/>
      <diagonal/>
    </border>
    <border>
      <left/>
      <right style="medium">
        <color indexed="64"/>
      </right>
      <top style="double">
        <color indexed="64"/>
      </top>
      <bottom style="medium">
        <color indexed="64"/>
      </bottom>
      <diagonal/>
    </border>
    <border>
      <left/>
      <right style="double">
        <color indexed="64"/>
      </right>
      <top style="double">
        <color indexed="64"/>
      </top>
      <bottom style="medium">
        <color indexed="64"/>
      </bottom>
      <diagonal/>
    </border>
    <border>
      <left/>
      <right style="medium">
        <color indexed="64"/>
      </right>
      <top/>
      <bottom style="medium">
        <color indexed="64"/>
      </bottom>
      <diagonal/>
    </border>
    <border>
      <left/>
      <right style="double">
        <color indexed="64"/>
      </right>
      <top/>
      <bottom style="medium">
        <color indexed="64"/>
      </bottom>
      <diagonal/>
    </border>
    <border>
      <left style="double">
        <color indexed="64"/>
      </left>
      <right style="medium">
        <color indexed="64"/>
      </right>
      <top/>
      <bottom style="medium">
        <color indexed="64"/>
      </bottom>
      <diagonal/>
    </border>
    <border>
      <left/>
      <right style="medium">
        <color indexed="64"/>
      </right>
      <top/>
      <bottom/>
      <diagonal/>
    </border>
    <border>
      <left/>
      <right style="double">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medium">
        <color indexed="64"/>
      </right>
      <top style="double">
        <color indexed="64"/>
      </top>
      <bottom style="medium">
        <color indexed="64"/>
      </bottom>
      <diagonal/>
    </border>
    <border>
      <left style="double">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double">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1">
    <xf numFmtId="0" fontId="0" fillId="0" borderId="0"/>
  </cellStyleXfs>
  <cellXfs count="162">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vertical="center" wrapText="1"/>
    </xf>
    <xf numFmtId="0" fontId="0" fillId="0" borderId="8" xfId="0" applyBorder="1"/>
    <xf numFmtId="0" fontId="4" fillId="0" borderId="9" xfId="0" applyFont="1" applyBorder="1" applyAlignment="1">
      <alignment horizontal="center" vertical="center" wrapText="1"/>
    </xf>
    <xf numFmtId="0" fontId="6" fillId="0" borderId="10" xfId="0" applyFont="1" applyBorder="1" applyAlignment="1">
      <alignment horizontal="center" vertical="center" wrapText="1"/>
    </xf>
    <xf numFmtId="8" fontId="1" fillId="0" borderId="9" xfId="0" applyNumberFormat="1" applyFont="1" applyBorder="1" applyAlignment="1">
      <alignment horizontal="center" vertical="center"/>
    </xf>
    <xf numFmtId="0" fontId="2" fillId="2" borderId="11" xfId="0" applyFont="1" applyFill="1" applyBorder="1" applyAlignment="1">
      <alignment horizontal="center" vertical="center" wrapText="1"/>
    </xf>
    <xf numFmtId="0" fontId="0" fillId="0" borderId="0" xfId="0" applyBorder="1"/>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2" xfId="0" applyFont="1" applyBorder="1" applyAlignment="1">
      <alignment vertical="center" wrapText="1"/>
    </xf>
    <xf numFmtId="0" fontId="3" fillId="0" borderId="0" xfId="0" applyFont="1" applyBorder="1" applyAlignment="1">
      <alignment horizontal="center" vertical="center" wrapText="1"/>
    </xf>
    <xf numFmtId="164" fontId="3" fillId="0" borderId="3"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164" fontId="3" fillId="3" borderId="3" xfId="0" applyNumberFormat="1" applyFont="1" applyFill="1" applyBorder="1" applyAlignment="1">
      <alignment horizontal="center" vertical="center"/>
    </xf>
    <xf numFmtId="164" fontId="3" fillId="3" borderId="4" xfId="0" applyNumberFormat="1" applyFont="1" applyFill="1" applyBorder="1" applyAlignment="1">
      <alignment horizontal="center" vertical="center" wrapText="1"/>
    </xf>
    <xf numFmtId="164" fontId="3" fillId="0" borderId="3" xfId="0" applyNumberFormat="1" applyFont="1" applyBorder="1" applyAlignment="1">
      <alignment horizontal="center" vertical="center" wrapText="1"/>
    </xf>
    <xf numFmtId="164" fontId="3" fillId="0" borderId="0" xfId="0" applyNumberFormat="1" applyFont="1" applyBorder="1" applyAlignment="1">
      <alignment horizontal="center" vertical="center" wrapText="1"/>
    </xf>
    <xf numFmtId="164" fontId="3" fillId="0" borderId="0" xfId="0" applyNumberFormat="1" applyFont="1" applyFill="1" applyBorder="1" applyAlignment="1">
      <alignment horizontal="center" vertical="center" wrapText="1"/>
    </xf>
    <xf numFmtId="164" fontId="3" fillId="0" borderId="7" xfId="0" applyNumberFormat="1" applyFont="1" applyFill="1" applyBorder="1" applyAlignment="1">
      <alignment horizontal="center" vertical="center" wrapText="1"/>
    </xf>
    <xf numFmtId="164" fontId="0" fillId="0" borderId="0" xfId="0" applyNumberFormat="1"/>
    <xf numFmtId="164" fontId="2" fillId="2" borderId="1" xfId="0" applyNumberFormat="1" applyFont="1" applyFill="1" applyBorder="1" applyAlignment="1">
      <alignment horizontal="center" vertical="center" wrapText="1"/>
    </xf>
    <xf numFmtId="164" fontId="4" fillId="0" borderId="9" xfId="0" applyNumberFormat="1" applyFont="1" applyBorder="1" applyAlignment="1">
      <alignment horizontal="center" vertical="center" wrapText="1"/>
    </xf>
    <xf numFmtId="3" fontId="0" fillId="0" borderId="0" xfId="0" applyNumberFormat="1"/>
    <xf numFmtId="3" fontId="2" fillId="2" borderId="1" xfId="0" applyNumberFormat="1" applyFont="1" applyFill="1" applyBorder="1" applyAlignment="1">
      <alignment horizontal="center" vertical="center" wrapText="1"/>
    </xf>
    <xf numFmtId="3" fontId="3" fillId="0" borderId="3" xfId="0" applyNumberFormat="1" applyFont="1" applyFill="1" applyBorder="1" applyAlignment="1">
      <alignment horizontal="center" vertical="center" wrapText="1"/>
    </xf>
    <xf numFmtId="3" fontId="3" fillId="0" borderId="3" xfId="0" applyNumberFormat="1" applyFont="1" applyBorder="1" applyAlignment="1">
      <alignment horizontal="center" vertical="center" wrapText="1"/>
    </xf>
    <xf numFmtId="3" fontId="3" fillId="0" borderId="0"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4" fontId="0" fillId="0" borderId="0" xfId="0" applyNumberFormat="1"/>
    <xf numFmtId="4" fontId="2" fillId="2" borderId="1"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4" fontId="3" fillId="0" borderId="3" xfId="0" applyNumberFormat="1" applyFont="1" applyBorder="1" applyAlignment="1">
      <alignment horizontal="center" vertical="center" wrapText="1"/>
    </xf>
    <xf numFmtId="4" fontId="3" fillId="0" borderId="0" xfId="0" applyNumberFormat="1" applyFont="1" applyBorder="1" applyAlignment="1">
      <alignment horizontal="center" vertical="center" wrapText="1"/>
    </xf>
    <xf numFmtId="4" fontId="4" fillId="0" borderId="9" xfId="0" applyNumberFormat="1" applyFont="1" applyBorder="1" applyAlignment="1">
      <alignment horizontal="center" vertical="center" wrapText="1"/>
    </xf>
    <xf numFmtId="0" fontId="8" fillId="0" borderId="0" xfId="0" applyFont="1"/>
    <xf numFmtId="0" fontId="0" fillId="0" borderId="0" xfId="0" applyFont="1" applyFill="1"/>
    <xf numFmtId="0" fontId="0" fillId="0" borderId="0" xfId="0" applyFont="1" applyFill="1" applyBorder="1"/>
    <xf numFmtId="0" fontId="7" fillId="0" borderId="16" xfId="0" applyFont="1" applyFill="1" applyBorder="1" applyAlignment="1">
      <alignment horizontal="left" vertical="center"/>
    </xf>
    <xf numFmtId="0" fontId="4" fillId="0" borderId="0" xfId="0" applyFont="1" applyBorder="1" applyAlignment="1">
      <alignment horizontal="center" vertical="center" wrapText="1"/>
    </xf>
    <xf numFmtId="164" fontId="1" fillId="0" borderId="0" xfId="0" applyNumberFormat="1" applyFont="1" applyBorder="1" applyAlignment="1">
      <alignment horizontal="center" vertical="center" wrapText="1"/>
    </xf>
    <xf numFmtId="10" fontId="1" fillId="0" borderId="0" xfId="0" applyNumberFormat="1" applyFont="1" applyBorder="1" applyAlignment="1">
      <alignment horizontal="center" vertical="center" wrapText="1"/>
    </xf>
    <xf numFmtId="164" fontId="7"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4" fontId="1" fillId="0" borderId="0" xfId="0" applyNumberFormat="1" applyFont="1" applyBorder="1" applyAlignment="1">
      <alignment horizontal="center" vertical="center" wrapText="1"/>
    </xf>
    <xf numFmtId="10" fontId="7" fillId="0" borderId="0" xfId="0" applyNumberFormat="1" applyFont="1" applyFill="1" applyBorder="1" applyAlignment="1">
      <alignment horizontal="center" vertical="center" wrapText="1"/>
    </xf>
    <xf numFmtId="8" fontId="1" fillId="0" borderId="0" xfId="0" applyNumberFormat="1" applyFont="1" applyBorder="1" applyAlignment="1">
      <alignment horizontal="center" vertical="center"/>
    </xf>
    <xf numFmtId="164" fontId="5" fillId="0" borderId="0" xfId="0" applyNumberFormat="1" applyFont="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164" fontId="2" fillId="2" borderId="18" xfId="0" applyNumberFormat="1" applyFont="1" applyFill="1" applyBorder="1" applyAlignment="1">
      <alignment horizontal="center" vertical="center" wrapText="1"/>
    </xf>
    <xf numFmtId="3" fontId="2" fillId="2" borderId="18" xfId="0" applyNumberFormat="1" applyFont="1" applyFill="1" applyBorder="1" applyAlignment="1">
      <alignment horizontal="center" vertical="center" wrapText="1"/>
    </xf>
    <xf numFmtId="4" fontId="2" fillId="2" borderId="18" xfId="0" applyNumberFormat="1" applyFont="1" applyFill="1" applyBorder="1" applyAlignment="1">
      <alignment horizontal="center" vertical="center" wrapText="1"/>
    </xf>
    <xf numFmtId="0" fontId="2" fillId="4" borderId="23" xfId="0" applyFont="1" applyFill="1" applyBorder="1" applyAlignment="1">
      <alignment horizontal="center" vertical="center" wrapText="1"/>
    </xf>
    <xf numFmtId="164" fontId="2" fillId="4" borderId="23" xfId="0" applyNumberFormat="1" applyFont="1" applyFill="1" applyBorder="1" applyAlignment="1">
      <alignment horizontal="center" vertical="center" wrapText="1"/>
    </xf>
    <xf numFmtId="10" fontId="3" fillId="4" borderId="23" xfId="0" applyNumberFormat="1" applyFont="1" applyFill="1" applyBorder="1" applyAlignment="1">
      <alignment horizontal="center" vertical="center" wrapText="1"/>
    </xf>
    <xf numFmtId="3" fontId="2" fillId="4" borderId="23" xfId="0" applyNumberFormat="1" applyFont="1" applyFill="1" applyBorder="1" applyAlignment="1">
      <alignment horizontal="center" vertical="center" wrapText="1"/>
    </xf>
    <xf numFmtId="165" fontId="2" fillId="4" borderId="23" xfId="0" applyNumberFormat="1" applyFont="1" applyFill="1" applyBorder="1" applyAlignment="1">
      <alignment horizontal="center" vertical="center" wrapText="1"/>
    </xf>
    <xf numFmtId="4" fontId="2" fillId="4" borderId="23" xfId="0" applyNumberFormat="1" applyFont="1" applyFill="1" applyBorder="1" applyAlignment="1">
      <alignment horizontal="center" vertical="center" wrapText="1"/>
    </xf>
    <xf numFmtId="164" fontId="7" fillId="4" borderId="23" xfId="0" applyNumberFormat="1" applyFont="1" applyFill="1" applyBorder="1" applyAlignment="1">
      <alignment horizontal="center" vertical="center" wrapText="1"/>
    </xf>
    <xf numFmtId="164" fontId="0" fillId="0" borderId="0" xfId="0" applyNumberFormat="1" applyFont="1" applyFill="1" applyBorder="1"/>
    <xf numFmtId="6" fontId="0" fillId="0" borderId="0" xfId="0" applyNumberFormat="1"/>
    <xf numFmtId="0" fontId="0" fillId="0" borderId="0" xfId="0" applyFill="1" applyBorder="1"/>
    <xf numFmtId="8" fontId="0" fillId="0" borderId="0" xfId="0" applyNumberFormat="1"/>
    <xf numFmtId="38" fontId="0" fillId="0" borderId="0" xfId="0" applyNumberFormat="1" applyAlignment="1">
      <alignment horizontal="center"/>
    </xf>
    <xf numFmtId="0" fontId="9" fillId="0" borderId="13" xfId="0" applyFont="1" applyFill="1" applyBorder="1" applyAlignment="1">
      <alignment horizontal="left" vertical="center" wrapText="1"/>
    </xf>
    <xf numFmtId="0" fontId="9" fillId="0" borderId="13" xfId="0" applyFont="1" applyFill="1" applyBorder="1" applyAlignment="1">
      <alignment horizontal="center" vertical="center" wrapText="1"/>
    </xf>
    <xf numFmtId="8" fontId="9"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wrapText="1"/>
    </xf>
    <xf numFmtId="10" fontId="9" fillId="0" borderId="13" xfId="0" applyNumberFormat="1" applyFont="1" applyFill="1" applyBorder="1" applyAlignment="1">
      <alignment horizontal="center" vertical="center" wrapText="1"/>
    </xf>
    <xf numFmtId="165" fontId="9" fillId="0" borderId="13" xfId="0" applyNumberFormat="1" applyFont="1" applyFill="1" applyBorder="1" applyAlignment="1">
      <alignment horizontal="center" vertical="center" wrapText="1"/>
    </xf>
    <xf numFmtId="1" fontId="9" fillId="0" borderId="13" xfId="0" applyNumberFormat="1" applyFont="1" applyFill="1" applyBorder="1" applyAlignment="1">
      <alignment horizontal="center" vertical="center" wrapText="1"/>
    </xf>
    <xf numFmtId="4" fontId="9" fillId="0" borderId="13" xfId="0" applyNumberFormat="1" applyFont="1" applyFill="1" applyBorder="1" applyAlignment="1">
      <alignment horizontal="center" vertical="center" wrapText="1"/>
    </xf>
    <xf numFmtId="164" fontId="10" fillId="0" borderId="13" xfId="0" applyNumberFormat="1" applyFont="1" applyFill="1" applyBorder="1" applyAlignment="1">
      <alignment horizontal="center" vertical="center" wrapText="1"/>
    </xf>
    <xf numFmtId="3" fontId="9" fillId="0" borderId="13" xfId="0" applyNumberFormat="1" applyFont="1" applyFill="1" applyBorder="1" applyAlignment="1">
      <alignment horizontal="center" vertical="center" wrapText="1"/>
    </xf>
    <xf numFmtId="0" fontId="10" fillId="4" borderId="13" xfId="0" applyFont="1" applyFill="1" applyBorder="1" applyAlignment="1">
      <alignment horizontal="left" vertical="center" wrapText="1"/>
    </xf>
    <xf numFmtId="0" fontId="10" fillId="4" borderId="13" xfId="0" applyFont="1" applyFill="1" applyBorder="1" applyAlignment="1">
      <alignment horizontal="center" vertical="center" wrapText="1"/>
    </xf>
    <xf numFmtId="164" fontId="10" fillId="4" borderId="13" xfId="0" applyNumberFormat="1" applyFont="1" applyFill="1" applyBorder="1" applyAlignment="1">
      <alignment horizontal="center" vertical="center" wrapText="1"/>
    </xf>
    <xf numFmtId="10" fontId="9" fillId="4" borderId="13" xfId="0" applyNumberFormat="1" applyFont="1" applyFill="1" applyBorder="1" applyAlignment="1">
      <alignment horizontal="center" vertical="center" wrapText="1"/>
    </xf>
    <xf numFmtId="3" fontId="10" fillId="4" borderId="13" xfId="0" applyNumberFormat="1" applyFont="1" applyFill="1" applyBorder="1" applyAlignment="1">
      <alignment horizontal="center" vertical="center" wrapText="1"/>
    </xf>
    <xf numFmtId="165" fontId="10" fillId="4" borderId="13" xfId="0" applyNumberFormat="1" applyFont="1" applyFill="1" applyBorder="1" applyAlignment="1">
      <alignment horizontal="center" vertical="center" wrapText="1"/>
    </xf>
    <xf numFmtId="4" fontId="10" fillId="4" borderId="13" xfId="0" applyNumberFormat="1" applyFont="1" applyFill="1" applyBorder="1" applyAlignment="1">
      <alignment horizontal="center" vertical="center" wrapText="1"/>
    </xf>
    <xf numFmtId="0" fontId="10" fillId="2" borderId="13" xfId="0" applyFont="1" applyFill="1" applyBorder="1" applyAlignment="1">
      <alignment horizontal="center" vertical="center" wrapText="1"/>
    </xf>
    <xf numFmtId="0" fontId="9" fillId="2" borderId="13" xfId="0" applyFont="1" applyFill="1" applyBorder="1" applyAlignment="1">
      <alignment horizontal="center" vertical="center" wrapText="1"/>
    </xf>
    <xf numFmtId="164" fontId="9" fillId="2" borderId="13" xfId="0" applyNumberFormat="1" applyFont="1" applyFill="1" applyBorder="1" applyAlignment="1">
      <alignment horizontal="center" vertical="center" wrapText="1"/>
    </xf>
    <xf numFmtId="10" fontId="9" fillId="2" borderId="13" xfId="0" applyNumberFormat="1" applyFont="1" applyFill="1" applyBorder="1" applyAlignment="1">
      <alignment horizontal="center" vertical="center" wrapText="1"/>
    </xf>
    <xf numFmtId="165" fontId="9" fillId="2" borderId="13" xfId="0" applyNumberFormat="1" applyFont="1" applyFill="1" applyBorder="1" applyAlignment="1">
      <alignment horizontal="center" vertical="center" wrapText="1"/>
    </xf>
    <xf numFmtId="1" fontId="9" fillId="2" borderId="13" xfId="0" applyNumberFormat="1" applyFont="1" applyFill="1" applyBorder="1" applyAlignment="1">
      <alignment horizontal="center" vertical="center" wrapText="1"/>
    </xf>
    <xf numFmtId="4" fontId="9" fillId="2" borderId="13" xfId="0" applyNumberFormat="1" applyFont="1" applyFill="1" applyBorder="1" applyAlignment="1">
      <alignment horizontal="center" vertical="center" wrapText="1"/>
    </xf>
    <xf numFmtId="164" fontId="10" fillId="2" borderId="13" xfId="0" applyNumberFormat="1" applyFont="1" applyFill="1" applyBorder="1" applyAlignment="1">
      <alignment horizontal="center" vertical="center" wrapText="1"/>
    </xf>
    <xf numFmtId="3" fontId="9" fillId="2" borderId="13" xfId="0" applyNumberFormat="1" applyFont="1" applyFill="1" applyBorder="1" applyAlignment="1">
      <alignment horizontal="center" vertical="center" wrapText="1"/>
    </xf>
    <xf numFmtId="0" fontId="9" fillId="0" borderId="13" xfId="0" applyFont="1" applyBorder="1" applyAlignment="1">
      <alignment vertical="center" wrapText="1"/>
    </xf>
    <xf numFmtId="0" fontId="9" fillId="0" borderId="13" xfId="0" applyFont="1" applyBorder="1" applyAlignment="1">
      <alignment horizontal="center" vertical="center" wrapText="1"/>
    </xf>
    <xf numFmtId="8" fontId="9" fillId="0" borderId="13" xfId="0" applyNumberFormat="1" applyFont="1" applyBorder="1" applyAlignment="1">
      <alignment horizontal="center" vertical="center" wrapText="1"/>
    </xf>
    <xf numFmtId="164" fontId="9" fillId="0" borderId="13" xfId="0" applyNumberFormat="1" applyFont="1" applyBorder="1" applyAlignment="1">
      <alignment horizontal="center" vertical="center" wrapText="1"/>
    </xf>
    <xf numFmtId="164" fontId="9" fillId="3" borderId="13" xfId="0" applyNumberFormat="1" applyFont="1" applyFill="1" applyBorder="1" applyAlignment="1">
      <alignment horizontal="center" vertical="center"/>
    </xf>
    <xf numFmtId="164" fontId="9" fillId="3" borderId="13" xfId="0" applyNumberFormat="1" applyFont="1" applyFill="1" applyBorder="1" applyAlignment="1">
      <alignment horizontal="center" vertical="center" wrapText="1"/>
    </xf>
    <xf numFmtId="3" fontId="9" fillId="0" borderId="13" xfId="0" applyNumberFormat="1" applyFont="1" applyBorder="1" applyAlignment="1">
      <alignment horizontal="center" vertical="center" wrapText="1"/>
    </xf>
    <xf numFmtId="4" fontId="9" fillId="0" borderId="13" xfId="0" applyNumberFormat="1" applyFont="1" applyBorder="1" applyAlignment="1">
      <alignment horizontal="center" vertical="center" wrapText="1"/>
    </xf>
    <xf numFmtId="0" fontId="9" fillId="0" borderId="19" xfId="0" applyFont="1" applyBorder="1" applyAlignment="1">
      <alignment vertical="center" wrapText="1"/>
    </xf>
    <xf numFmtId="0" fontId="9" fillId="0" borderId="3" xfId="0" applyFont="1" applyBorder="1" applyAlignment="1">
      <alignment horizontal="center" vertical="center" wrapText="1"/>
    </xf>
    <xf numFmtId="164" fontId="9" fillId="0" borderId="3" xfId="0" applyNumberFormat="1" applyFont="1" applyBorder="1" applyAlignment="1">
      <alignment horizontal="center" vertical="center" wrapText="1"/>
    </xf>
    <xf numFmtId="3" fontId="9" fillId="0" borderId="3" xfId="0" applyNumberFormat="1" applyFont="1" applyBorder="1" applyAlignment="1">
      <alignment horizontal="center" vertical="center" wrapText="1"/>
    </xf>
    <xf numFmtId="4" fontId="9" fillId="0" borderId="3" xfId="0" applyNumberFormat="1" applyFont="1" applyBorder="1" applyAlignment="1">
      <alignment horizontal="center" vertical="center" wrapText="1"/>
    </xf>
    <xf numFmtId="164" fontId="9" fillId="3" borderId="3" xfId="0" applyNumberFormat="1" applyFont="1" applyFill="1" applyBorder="1" applyAlignment="1">
      <alignment horizontal="center" vertical="center"/>
    </xf>
    <xf numFmtId="164" fontId="9" fillId="3" borderId="3" xfId="0" applyNumberFormat="1" applyFont="1" applyFill="1" applyBorder="1" applyAlignment="1">
      <alignment horizontal="center" vertical="center" wrapText="1"/>
    </xf>
    <xf numFmtId="0" fontId="9" fillId="0" borderId="14" xfId="0" applyFont="1" applyBorder="1" applyAlignment="1">
      <alignment vertical="center" wrapText="1"/>
    </xf>
    <xf numFmtId="0" fontId="9" fillId="0" borderId="14" xfId="0" applyFont="1" applyBorder="1" applyAlignment="1">
      <alignment horizontal="center" vertical="center" wrapText="1"/>
    </xf>
    <xf numFmtId="164" fontId="9" fillId="0" borderId="14" xfId="0" applyNumberFormat="1" applyFont="1" applyBorder="1" applyAlignment="1">
      <alignment horizontal="center" vertical="center" wrapText="1"/>
    </xf>
    <xf numFmtId="164" fontId="9" fillId="0" borderId="6" xfId="0" applyNumberFormat="1" applyFont="1" applyBorder="1" applyAlignment="1">
      <alignment horizontal="center" vertical="center" wrapText="1"/>
    </xf>
    <xf numFmtId="10" fontId="9" fillId="0" borderId="3" xfId="0" applyNumberFormat="1" applyFont="1" applyFill="1" applyBorder="1" applyAlignment="1">
      <alignment horizontal="center" vertical="center" wrapText="1"/>
    </xf>
    <xf numFmtId="164" fontId="9" fillId="0" borderId="6" xfId="0" applyNumberFormat="1" applyFont="1" applyFill="1" applyBorder="1" applyAlignment="1">
      <alignment horizontal="center" vertical="center" wrapText="1"/>
    </xf>
    <xf numFmtId="3" fontId="9" fillId="0" borderId="6" xfId="0" applyNumberFormat="1" applyFont="1" applyFill="1" applyBorder="1" applyAlignment="1">
      <alignment horizontal="center" vertical="center" wrapText="1"/>
    </xf>
    <xf numFmtId="4" fontId="9" fillId="0" borderId="6" xfId="0" applyNumberFormat="1" applyFont="1" applyFill="1" applyBorder="1" applyAlignment="1">
      <alignment horizontal="center" vertical="center" wrapText="1"/>
    </xf>
    <xf numFmtId="164" fontId="10" fillId="0" borderId="6" xfId="0" applyNumberFormat="1" applyFont="1" applyFill="1" applyBorder="1" applyAlignment="1">
      <alignment horizontal="center" vertical="center" wrapText="1"/>
    </xf>
    <xf numFmtId="10" fontId="9" fillId="0" borderId="6" xfId="0" applyNumberFormat="1" applyFont="1" applyFill="1" applyBorder="1" applyAlignment="1">
      <alignment horizontal="center" vertical="center" wrapText="1"/>
    </xf>
    <xf numFmtId="164" fontId="9" fillId="3" borderId="14" xfId="0" applyNumberFormat="1" applyFont="1" applyFill="1" applyBorder="1" applyAlignment="1">
      <alignment horizontal="center" vertical="center"/>
    </xf>
    <xf numFmtId="164" fontId="9" fillId="3" borderId="14" xfId="0" applyNumberFormat="1" applyFont="1" applyFill="1" applyBorder="1" applyAlignment="1">
      <alignment horizontal="center" vertical="center" wrapText="1"/>
    </xf>
    <xf numFmtId="0" fontId="9" fillId="0" borderId="17" xfId="0" applyFont="1" applyBorder="1" applyAlignment="1">
      <alignment vertical="center" wrapText="1"/>
    </xf>
    <xf numFmtId="0" fontId="9" fillId="0" borderId="24" xfId="0" applyFont="1" applyBorder="1" applyAlignment="1">
      <alignment horizontal="center" vertical="center" wrapText="1"/>
    </xf>
    <xf numFmtId="0" fontId="9" fillId="5" borderId="15" xfId="0" applyFont="1" applyFill="1" applyBorder="1" applyAlignment="1">
      <alignment vertical="center" wrapText="1"/>
    </xf>
    <xf numFmtId="0" fontId="11" fillId="5" borderId="14" xfId="0" applyFont="1" applyFill="1" applyBorder="1" applyAlignment="1">
      <alignment horizontal="center" vertical="center" wrapText="1"/>
    </xf>
    <xf numFmtId="0" fontId="11" fillId="5" borderId="15" xfId="0" applyFont="1" applyFill="1" applyBorder="1" applyAlignment="1">
      <alignment horizontal="center" vertical="center" wrapText="1"/>
    </xf>
    <xf numFmtId="164" fontId="9" fillId="5" borderId="15" xfId="0" applyNumberFormat="1" applyFont="1" applyFill="1" applyBorder="1" applyAlignment="1">
      <alignment horizontal="center" vertical="center" wrapText="1"/>
    </xf>
    <xf numFmtId="10" fontId="9" fillId="5" borderId="15" xfId="0" applyNumberFormat="1" applyFont="1" applyFill="1" applyBorder="1" applyAlignment="1">
      <alignment horizontal="center" vertical="center" wrapText="1"/>
    </xf>
    <xf numFmtId="3" fontId="9" fillId="5" borderId="15" xfId="0" applyNumberFormat="1" applyFont="1" applyFill="1" applyBorder="1" applyAlignment="1">
      <alignment horizontal="center" vertical="center" wrapText="1"/>
    </xf>
    <xf numFmtId="4" fontId="9" fillId="5" borderId="15" xfId="0" applyNumberFormat="1" applyFont="1" applyFill="1" applyBorder="1" applyAlignment="1">
      <alignment horizontal="center" vertical="center" wrapText="1"/>
    </xf>
    <xf numFmtId="164" fontId="10" fillId="5" borderId="15" xfId="0" applyNumberFormat="1" applyFont="1" applyFill="1" applyBorder="1" applyAlignment="1">
      <alignment horizontal="center" vertical="center" wrapText="1"/>
    </xf>
    <xf numFmtId="164" fontId="9" fillId="5" borderId="15" xfId="0" applyNumberFormat="1" applyFont="1" applyFill="1" applyBorder="1" applyAlignment="1">
      <alignment horizontal="center" vertical="center"/>
    </xf>
    <xf numFmtId="0" fontId="10" fillId="5" borderId="20" xfId="0" applyFont="1" applyFill="1" applyBorder="1"/>
    <xf numFmtId="0" fontId="11" fillId="5" borderId="21" xfId="0" applyFont="1" applyFill="1" applyBorder="1" applyAlignment="1">
      <alignment horizontal="center" vertical="center" wrapText="1"/>
    </xf>
    <xf numFmtId="164" fontId="10" fillId="5" borderId="21" xfId="0" applyNumberFormat="1" applyFont="1" applyFill="1" applyBorder="1" applyAlignment="1">
      <alignment horizontal="center" vertical="center" wrapText="1"/>
    </xf>
    <xf numFmtId="10" fontId="10" fillId="5" borderId="21" xfId="0" applyNumberFormat="1" applyFont="1" applyFill="1" applyBorder="1" applyAlignment="1">
      <alignment horizontal="center" vertical="center" wrapText="1"/>
    </xf>
    <xf numFmtId="164" fontId="10" fillId="5" borderId="22" xfId="0" applyNumberFormat="1" applyFont="1" applyFill="1" applyBorder="1" applyAlignment="1">
      <alignment horizontal="center" vertical="center" wrapText="1"/>
    </xf>
    <xf numFmtId="3" fontId="9" fillId="5" borderId="1" xfId="0" applyNumberFormat="1" applyFont="1" applyFill="1" applyBorder="1" applyAlignment="1">
      <alignment horizontal="center" vertical="center" wrapText="1"/>
    </xf>
    <xf numFmtId="164" fontId="9" fillId="5" borderId="1" xfId="0" applyNumberFormat="1" applyFont="1" applyFill="1" applyBorder="1" applyAlignment="1">
      <alignment horizontal="center" vertical="center" wrapText="1"/>
    </xf>
    <xf numFmtId="4" fontId="10" fillId="5" borderId="21" xfId="0" applyNumberFormat="1" applyFont="1" applyFill="1" applyBorder="1" applyAlignment="1">
      <alignment horizontal="center" vertical="center" wrapText="1"/>
    </xf>
    <xf numFmtId="164" fontId="10" fillId="5" borderId="1" xfId="0" applyNumberFormat="1" applyFont="1" applyFill="1" applyBorder="1" applyAlignment="1">
      <alignment horizontal="center" vertical="center" wrapText="1"/>
    </xf>
    <xf numFmtId="10" fontId="10" fillId="5" borderId="1" xfId="0" applyNumberFormat="1" applyFont="1" applyFill="1" applyBorder="1" applyAlignment="1">
      <alignment horizontal="center" vertical="center" wrapText="1"/>
    </xf>
    <xf numFmtId="8" fontId="10" fillId="5" borderId="21" xfId="0" applyNumberFormat="1" applyFont="1" applyFill="1" applyBorder="1" applyAlignment="1">
      <alignment horizontal="center" vertical="center"/>
    </xf>
    <xf numFmtId="0" fontId="9" fillId="0" borderId="13" xfId="0" applyFont="1" applyFill="1" applyBorder="1" applyAlignment="1">
      <alignment vertical="center" wrapText="1"/>
    </xf>
    <xf numFmtId="164" fontId="9" fillId="0" borderId="13" xfId="0" applyNumberFormat="1" applyFont="1" applyFill="1" applyBorder="1" applyAlignment="1">
      <alignment horizontal="center" vertical="center"/>
    </xf>
    <xf numFmtId="0" fontId="9" fillId="0" borderId="19" xfId="0" applyFont="1" applyFill="1" applyBorder="1" applyAlignment="1">
      <alignment vertical="center" wrapText="1"/>
    </xf>
    <xf numFmtId="0" fontId="9" fillId="0" borderId="3" xfId="0" applyFont="1" applyFill="1" applyBorder="1" applyAlignment="1">
      <alignment horizontal="center" vertical="center" wrapText="1"/>
    </xf>
    <xf numFmtId="0" fontId="9" fillId="5" borderId="13" xfId="0" applyFont="1" applyFill="1" applyBorder="1" applyAlignment="1">
      <alignment vertical="center" wrapText="1"/>
    </xf>
    <xf numFmtId="0" fontId="11" fillId="5" borderId="13" xfId="0" applyFont="1" applyFill="1" applyBorder="1" applyAlignment="1">
      <alignment horizontal="center" vertical="center" wrapText="1"/>
    </xf>
    <xf numFmtId="8" fontId="10" fillId="5" borderId="13" xfId="0" applyNumberFormat="1" applyFont="1" applyFill="1" applyBorder="1" applyAlignment="1">
      <alignment horizontal="center" vertical="center" wrapText="1"/>
    </xf>
    <xf numFmtId="164" fontId="10" fillId="5" borderId="13" xfId="0" applyNumberFormat="1" applyFont="1" applyFill="1" applyBorder="1" applyAlignment="1">
      <alignment horizontal="center" vertical="center"/>
    </xf>
    <xf numFmtId="0" fontId="10" fillId="5" borderId="13"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4" fillId="0" borderId="25" xfId="0" applyFont="1" applyBorder="1" applyAlignment="1">
      <alignment horizontal="center" vertical="center" wrapText="1"/>
    </xf>
    <xf numFmtId="0" fontId="2" fillId="2" borderId="13" xfId="0" applyFont="1" applyFill="1" applyBorder="1" applyAlignment="1">
      <alignment horizontal="center" vertical="center" wrapText="1"/>
    </xf>
    <xf numFmtId="0" fontId="2" fillId="2" borderId="26" xfId="0" applyFont="1" applyFill="1" applyBorder="1" applyAlignment="1">
      <alignment horizontal="center" vertical="center" wrapText="1"/>
    </xf>
    <xf numFmtId="8" fontId="1" fillId="0" borderId="25" xfId="0" applyNumberFormat="1" applyFont="1" applyBorder="1" applyAlignment="1">
      <alignment horizontal="center" vertical="center"/>
    </xf>
    <xf numFmtId="0" fontId="10" fillId="5" borderId="13" xfId="0" applyFont="1" applyFill="1" applyBorder="1" applyAlignment="1">
      <alignment vertical="center" wrapText="1"/>
    </xf>
    <xf numFmtId="0" fontId="0" fillId="6" borderId="27" xfId="0" applyFill="1" applyBorder="1" applyProtection="1">
      <protection locked="0"/>
    </xf>
    <xf numFmtId="8" fontId="9" fillId="6" borderId="13" xfId="0" applyNumberFormat="1" applyFont="1" applyFill="1" applyBorder="1" applyAlignment="1" applyProtection="1">
      <alignment horizontal="center" vertical="center" wrapText="1"/>
      <protection locked="0"/>
    </xf>
    <xf numFmtId="164" fontId="9" fillId="6" borderId="13" xfId="0" applyNumberFormat="1" applyFont="1" applyFill="1" applyBorder="1" applyAlignment="1" applyProtection="1">
      <alignment horizontal="center" vertical="center" wrapText="1"/>
      <protection locked="0"/>
    </xf>
    <xf numFmtId="10" fontId="10" fillId="6" borderId="13" xfId="0" applyNumberFormat="1"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CF9CC-9138-4D89-8B5C-C86C2C60F5B7}">
  <sheetPr>
    <pageSetUpPr fitToPage="1"/>
  </sheetPr>
  <dimension ref="B1:AE44"/>
  <sheetViews>
    <sheetView tabSelected="1" view="pageBreakPreview" zoomScale="60" zoomScaleNormal="100" workbookViewId="0">
      <selection activeCell="AB39" sqref="AB39"/>
    </sheetView>
  </sheetViews>
  <sheetFormatPr defaultRowHeight="15" x14ac:dyDescent="0.25"/>
  <cols>
    <col min="2" max="2" width="70.5703125" customWidth="1"/>
    <col min="3" max="3" width="79.28515625" customWidth="1"/>
    <col min="4" max="4" width="15.42578125" customWidth="1"/>
    <col min="5" max="5" width="24.140625" customWidth="1"/>
    <col min="6" max="6" width="1.7109375" customWidth="1"/>
    <col min="7" max="7" width="12.42578125" customWidth="1"/>
    <col min="8" max="8" width="15.7109375" customWidth="1"/>
    <col min="9" max="9" width="22.85546875" bestFit="1" customWidth="1"/>
    <col min="10" max="10" width="1.85546875" customWidth="1"/>
    <col min="11" max="11" width="12.42578125" customWidth="1"/>
    <col min="12" max="12" width="16" customWidth="1"/>
    <col min="13" max="13" width="22.85546875" bestFit="1" customWidth="1"/>
    <col min="14" max="14" width="1.85546875" customWidth="1"/>
    <col min="15" max="15" width="12.42578125" customWidth="1"/>
    <col min="16" max="16" width="18.140625" customWidth="1"/>
    <col min="17" max="17" width="22.85546875" bestFit="1" customWidth="1"/>
    <col min="18" max="18" width="2.140625" customWidth="1"/>
    <col min="19" max="19" width="12.42578125" customWidth="1"/>
    <col min="20" max="20" width="15.5703125" customWidth="1"/>
    <col min="21" max="21" width="22.85546875" bestFit="1" customWidth="1"/>
    <col min="22" max="22" width="2.140625" customWidth="1"/>
    <col min="23" max="23" width="12.42578125" customWidth="1"/>
    <col min="24" max="24" width="18.42578125" customWidth="1"/>
    <col min="25" max="25" width="22.85546875" bestFit="1" customWidth="1"/>
    <col min="26" max="26" width="2.140625" customWidth="1"/>
    <col min="27" max="27" width="12.42578125" customWidth="1"/>
    <col min="28" max="28" width="15.5703125" customWidth="1"/>
    <col min="29" max="29" width="22.85546875" bestFit="1" customWidth="1"/>
    <col min="30" max="30" width="2" customWidth="1"/>
    <col min="31" max="31" width="19.5703125" customWidth="1"/>
  </cols>
  <sheetData>
    <row r="1" spans="2:31" ht="18.75" x14ac:dyDescent="0.3">
      <c r="B1" s="38" t="s">
        <v>107</v>
      </c>
    </row>
    <row r="2" spans="2:31" ht="18.75" x14ac:dyDescent="0.3">
      <c r="B2" s="38" t="s">
        <v>108</v>
      </c>
    </row>
    <row r="3" spans="2:31" ht="18.75" x14ac:dyDescent="0.3">
      <c r="B3" s="38" t="s">
        <v>146</v>
      </c>
      <c r="C3" s="158"/>
    </row>
    <row r="4" spans="2:31" ht="15.75" thickBot="1" x14ac:dyDescent="0.3">
      <c r="F4" s="10"/>
    </row>
    <row r="5" spans="2:31" ht="63.75" thickBot="1" x14ac:dyDescent="0.3">
      <c r="B5" s="51" t="s">
        <v>19</v>
      </c>
      <c r="C5" s="52" t="s">
        <v>0</v>
      </c>
      <c r="D5" s="52" t="s">
        <v>135</v>
      </c>
      <c r="E5" s="52" t="s">
        <v>116</v>
      </c>
      <c r="F5" s="10"/>
      <c r="G5" s="51"/>
      <c r="H5" s="52" t="s">
        <v>136</v>
      </c>
      <c r="I5" s="52" t="s">
        <v>119</v>
      </c>
      <c r="K5" s="51"/>
      <c r="L5" s="52" t="s">
        <v>137</v>
      </c>
      <c r="M5" s="52" t="s">
        <v>122</v>
      </c>
      <c r="O5" s="51"/>
      <c r="P5" s="52" t="s">
        <v>138</v>
      </c>
      <c r="Q5" s="52" t="s">
        <v>125</v>
      </c>
      <c r="S5" s="51"/>
      <c r="T5" s="52" t="s">
        <v>139</v>
      </c>
      <c r="U5" s="52" t="s">
        <v>128</v>
      </c>
      <c r="W5" s="51"/>
      <c r="X5" s="52" t="s">
        <v>140</v>
      </c>
      <c r="Y5" s="52" t="s">
        <v>131</v>
      </c>
      <c r="AA5" s="51"/>
      <c r="AB5" s="52" t="s">
        <v>141</v>
      </c>
      <c r="AC5" s="52" t="s">
        <v>134</v>
      </c>
      <c r="AE5" s="154" t="s">
        <v>142</v>
      </c>
    </row>
    <row r="6" spans="2:31" s="39" customFormat="1" ht="16.149999999999999" customHeight="1" thickBot="1" x14ac:dyDescent="0.3">
      <c r="B6" s="68" t="s">
        <v>55</v>
      </c>
      <c r="C6" s="69" t="s">
        <v>103</v>
      </c>
      <c r="D6" s="159"/>
      <c r="E6" s="71">
        <f t="shared" ref="E6:E14" si="0">D6*12</f>
        <v>0</v>
      </c>
      <c r="F6" s="40"/>
      <c r="G6" s="69"/>
      <c r="H6" s="159"/>
      <c r="I6" s="71">
        <f t="shared" ref="I6:I7" si="1">H6*12</f>
        <v>0</v>
      </c>
      <c r="K6" s="69"/>
      <c r="L6" s="159"/>
      <c r="M6" s="71">
        <f t="shared" ref="M6:M7" si="2">L6*12</f>
        <v>0</v>
      </c>
      <c r="O6" s="69"/>
      <c r="P6" s="159"/>
      <c r="Q6" s="71">
        <f t="shared" ref="Q6:Q7" si="3">P6*12</f>
        <v>0</v>
      </c>
      <c r="S6" s="69"/>
      <c r="T6" s="159"/>
      <c r="U6" s="71">
        <f t="shared" ref="U6:U7" si="4">T6*12</f>
        <v>0</v>
      </c>
      <c r="W6" s="69"/>
      <c r="X6" s="159"/>
      <c r="Y6" s="71">
        <f t="shared" ref="Y6:Y7" si="5">X6*12</f>
        <v>0</v>
      </c>
      <c r="AA6" s="69"/>
      <c r="AB6" s="159"/>
      <c r="AC6" s="71">
        <f t="shared" ref="AC6:AC7" si="6">AB6*12</f>
        <v>0</v>
      </c>
      <c r="AE6" s="71">
        <f>SUM(AC6,Y6,U6,Q6,M6,I6,E6)</f>
        <v>0</v>
      </c>
    </row>
    <row r="7" spans="2:31" s="39" customFormat="1" ht="15.75" thickBot="1" x14ac:dyDescent="0.3">
      <c r="B7" s="68" t="s">
        <v>104</v>
      </c>
      <c r="C7" s="69" t="s">
        <v>105</v>
      </c>
      <c r="D7" s="159"/>
      <c r="E7" s="71">
        <f t="shared" si="0"/>
        <v>0</v>
      </c>
      <c r="F7" s="40"/>
      <c r="G7" s="69"/>
      <c r="H7" s="159"/>
      <c r="I7" s="71">
        <f t="shared" si="1"/>
        <v>0</v>
      </c>
      <c r="K7" s="69"/>
      <c r="L7" s="159"/>
      <c r="M7" s="71">
        <f t="shared" si="2"/>
        <v>0</v>
      </c>
      <c r="O7" s="69"/>
      <c r="P7" s="159"/>
      <c r="Q7" s="71">
        <f t="shared" si="3"/>
        <v>0</v>
      </c>
      <c r="S7" s="69"/>
      <c r="T7" s="159"/>
      <c r="U7" s="71">
        <f t="shared" si="4"/>
        <v>0</v>
      </c>
      <c r="W7" s="69"/>
      <c r="X7" s="159"/>
      <c r="Y7" s="71">
        <f t="shared" si="5"/>
        <v>0</v>
      </c>
      <c r="AA7" s="69"/>
      <c r="AB7" s="159"/>
      <c r="AC7" s="71">
        <f t="shared" si="6"/>
        <v>0</v>
      </c>
      <c r="AE7" s="71">
        <f t="shared" ref="AE7:AE21" si="7">SUM(AC7,Y7,U7,Q7,M7,I7,E7)</f>
        <v>0</v>
      </c>
    </row>
    <row r="8" spans="2:31" s="39" customFormat="1" ht="15.75" thickBot="1" x14ac:dyDescent="0.3">
      <c r="B8" s="68" t="s">
        <v>106</v>
      </c>
      <c r="C8" s="69" t="s">
        <v>105</v>
      </c>
      <c r="D8" s="159"/>
      <c r="E8" s="71">
        <f t="shared" si="0"/>
        <v>0</v>
      </c>
      <c r="F8" s="40"/>
      <c r="G8" s="69"/>
      <c r="H8" s="159"/>
      <c r="I8" s="71">
        <f t="shared" ref="I8" si="8">H8*12</f>
        <v>0</v>
      </c>
      <c r="K8" s="69"/>
      <c r="L8" s="159"/>
      <c r="M8" s="71">
        <f t="shared" ref="M8" si="9">L8*12</f>
        <v>0</v>
      </c>
      <c r="O8" s="69"/>
      <c r="P8" s="159"/>
      <c r="Q8" s="71">
        <f t="shared" ref="Q8" si="10">P8*12</f>
        <v>0</v>
      </c>
      <c r="S8" s="69"/>
      <c r="T8" s="159"/>
      <c r="U8" s="71">
        <f t="shared" ref="U8" si="11">T8*12</f>
        <v>0</v>
      </c>
      <c r="W8" s="69"/>
      <c r="X8" s="159"/>
      <c r="Y8" s="71">
        <f t="shared" ref="Y8" si="12">X8*12</f>
        <v>0</v>
      </c>
      <c r="AA8" s="69"/>
      <c r="AB8" s="159"/>
      <c r="AC8" s="71">
        <f t="shared" ref="AC8" si="13">AB8*12</f>
        <v>0</v>
      </c>
      <c r="AE8" s="71">
        <f t="shared" si="7"/>
        <v>0</v>
      </c>
    </row>
    <row r="9" spans="2:31" ht="15.75" thickBot="1" x14ac:dyDescent="0.3">
      <c r="B9" s="143" t="s">
        <v>102</v>
      </c>
      <c r="C9" s="69" t="s">
        <v>15</v>
      </c>
      <c r="D9" s="159"/>
      <c r="E9" s="144">
        <f t="shared" si="0"/>
        <v>0</v>
      </c>
      <c r="F9" s="10"/>
      <c r="G9" s="69"/>
      <c r="H9" s="159"/>
      <c r="I9" s="144">
        <f t="shared" ref="I9:I21" si="14">H9*12</f>
        <v>0</v>
      </c>
      <c r="K9" s="69"/>
      <c r="L9" s="159"/>
      <c r="M9" s="144">
        <f t="shared" ref="M9:M21" si="15">L9*12</f>
        <v>0</v>
      </c>
      <c r="O9" s="69"/>
      <c r="P9" s="159"/>
      <c r="Q9" s="144">
        <f t="shared" ref="Q9:Q21" si="16">P9*12</f>
        <v>0</v>
      </c>
      <c r="S9" s="69"/>
      <c r="T9" s="159"/>
      <c r="U9" s="144">
        <f t="shared" ref="U9:U21" si="17">T9*12</f>
        <v>0</v>
      </c>
      <c r="W9" s="69"/>
      <c r="X9" s="159"/>
      <c r="Y9" s="144">
        <f t="shared" ref="Y9:Y21" si="18">X9*12</f>
        <v>0</v>
      </c>
      <c r="AA9" s="69"/>
      <c r="AB9" s="159"/>
      <c r="AC9" s="144">
        <f t="shared" ref="AC9:AC21" si="19">AB9*12</f>
        <v>0</v>
      </c>
      <c r="AE9" s="71">
        <f t="shared" si="7"/>
        <v>0</v>
      </c>
    </row>
    <row r="10" spans="2:31" ht="15.75" customHeight="1" thickBot="1" x14ac:dyDescent="0.3">
      <c r="B10" s="143" t="s">
        <v>2</v>
      </c>
      <c r="C10" s="69" t="s">
        <v>3</v>
      </c>
      <c r="D10" s="160"/>
      <c r="E10" s="144">
        <f t="shared" si="0"/>
        <v>0</v>
      </c>
      <c r="F10" s="10"/>
      <c r="G10" s="69"/>
      <c r="H10" s="160"/>
      <c r="I10" s="144">
        <f t="shared" si="14"/>
        <v>0</v>
      </c>
      <c r="K10" s="69"/>
      <c r="L10" s="160"/>
      <c r="M10" s="144">
        <f t="shared" si="15"/>
        <v>0</v>
      </c>
      <c r="O10" s="69"/>
      <c r="P10" s="160"/>
      <c r="Q10" s="144">
        <f t="shared" si="16"/>
        <v>0</v>
      </c>
      <c r="S10" s="69"/>
      <c r="T10" s="160"/>
      <c r="U10" s="144">
        <f t="shared" si="17"/>
        <v>0</v>
      </c>
      <c r="W10" s="69"/>
      <c r="X10" s="160"/>
      <c r="Y10" s="144">
        <f t="shared" si="18"/>
        <v>0</v>
      </c>
      <c r="AA10" s="69"/>
      <c r="AB10" s="160"/>
      <c r="AC10" s="144">
        <f t="shared" si="19"/>
        <v>0</v>
      </c>
      <c r="AE10" s="71">
        <f t="shared" si="7"/>
        <v>0</v>
      </c>
    </row>
    <row r="11" spans="2:31" ht="15.75" thickBot="1" x14ac:dyDescent="0.3">
      <c r="B11" s="145" t="s">
        <v>4</v>
      </c>
      <c r="C11" s="146" t="s">
        <v>5</v>
      </c>
      <c r="D11" s="160"/>
      <c r="E11" s="144">
        <f t="shared" si="0"/>
        <v>0</v>
      </c>
      <c r="F11" s="10"/>
      <c r="G11" s="152"/>
      <c r="H11" s="160"/>
      <c r="I11" s="144">
        <f t="shared" si="14"/>
        <v>0</v>
      </c>
      <c r="K11" s="152"/>
      <c r="L11" s="160"/>
      <c r="M11" s="144">
        <f t="shared" si="15"/>
        <v>0</v>
      </c>
      <c r="O11" s="152"/>
      <c r="P11" s="160"/>
      <c r="Q11" s="144">
        <f t="shared" si="16"/>
        <v>0</v>
      </c>
      <c r="S11" s="152"/>
      <c r="T11" s="160"/>
      <c r="U11" s="144">
        <f t="shared" si="17"/>
        <v>0</v>
      </c>
      <c r="W11" s="152"/>
      <c r="X11" s="160"/>
      <c r="Y11" s="144">
        <f t="shared" si="18"/>
        <v>0</v>
      </c>
      <c r="AA11" s="152"/>
      <c r="AB11" s="160"/>
      <c r="AC11" s="144">
        <f t="shared" si="19"/>
        <v>0</v>
      </c>
      <c r="AE11" s="71">
        <f t="shared" si="7"/>
        <v>0</v>
      </c>
    </row>
    <row r="12" spans="2:31" ht="15.75" thickBot="1" x14ac:dyDescent="0.3">
      <c r="B12" s="143" t="s">
        <v>6</v>
      </c>
      <c r="C12" s="146" t="s">
        <v>7</v>
      </c>
      <c r="D12" s="160"/>
      <c r="E12" s="144">
        <f t="shared" si="0"/>
        <v>0</v>
      </c>
      <c r="F12" s="65"/>
      <c r="G12" s="152"/>
      <c r="H12" s="160"/>
      <c r="I12" s="144">
        <f t="shared" si="14"/>
        <v>0</v>
      </c>
      <c r="K12" s="152"/>
      <c r="L12" s="160"/>
      <c r="M12" s="144">
        <f t="shared" si="15"/>
        <v>0</v>
      </c>
      <c r="O12" s="152"/>
      <c r="P12" s="160"/>
      <c r="Q12" s="144">
        <f t="shared" si="16"/>
        <v>0</v>
      </c>
      <c r="S12" s="152"/>
      <c r="T12" s="160"/>
      <c r="U12" s="144">
        <f t="shared" si="17"/>
        <v>0</v>
      </c>
      <c r="W12" s="152"/>
      <c r="X12" s="160"/>
      <c r="Y12" s="144">
        <f t="shared" si="18"/>
        <v>0</v>
      </c>
      <c r="AA12" s="152"/>
      <c r="AB12" s="160"/>
      <c r="AC12" s="144">
        <f t="shared" si="19"/>
        <v>0</v>
      </c>
      <c r="AE12" s="71">
        <f t="shared" si="7"/>
        <v>0</v>
      </c>
    </row>
    <row r="13" spans="2:31" ht="15.75" thickBot="1" x14ac:dyDescent="0.3">
      <c r="B13" s="145" t="s">
        <v>8</v>
      </c>
      <c r="C13" s="146" t="s">
        <v>5</v>
      </c>
      <c r="D13" s="160"/>
      <c r="E13" s="144">
        <f t="shared" si="0"/>
        <v>0</v>
      </c>
      <c r="F13" s="65"/>
      <c r="G13" s="152"/>
      <c r="H13" s="160"/>
      <c r="I13" s="144">
        <f t="shared" si="14"/>
        <v>0</v>
      </c>
      <c r="K13" s="152"/>
      <c r="L13" s="160"/>
      <c r="M13" s="144">
        <f t="shared" si="15"/>
        <v>0</v>
      </c>
      <c r="O13" s="152"/>
      <c r="P13" s="160"/>
      <c r="Q13" s="144">
        <f t="shared" si="16"/>
        <v>0</v>
      </c>
      <c r="S13" s="152"/>
      <c r="T13" s="160"/>
      <c r="U13" s="144">
        <f t="shared" si="17"/>
        <v>0</v>
      </c>
      <c r="W13" s="152"/>
      <c r="X13" s="160"/>
      <c r="Y13" s="144">
        <f t="shared" si="18"/>
        <v>0</v>
      </c>
      <c r="AA13" s="152"/>
      <c r="AB13" s="160"/>
      <c r="AC13" s="144">
        <f t="shared" si="19"/>
        <v>0</v>
      </c>
      <c r="AE13" s="71">
        <f t="shared" si="7"/>
        <v>0</v>
      </c>
    </row>
    <row r="14" spans="2:31" ht="15.75" thickBot="1" x14ac:dyDescent="0.3">
      <c r="B14" s="145" t="s">
        <v>9</v>
      </c>
      <c r="C14" s="146" t="s">
        <v>5</v>
      </c>
      <c r="D14" s="160"/>
      <c r="E14" s="144">
        <f t="shared" si="0"/>
        <v>0</v>
      </c>
      <c r="F14" s="10"/>
      <c r="G14" s="152"/>
      <c r="H14" s="160"/>
      <c r="I14" s="144">
        <f t="shared" si="14"/>
        <v>0</v>
      </c>
      <c r="K14" s="152"/>
      <c r="L14" s="160"/>
      <c r="M14" s="144">
        <f t="shared" si="15"/>
        <v>0</v>
      </c>
      <c r="O14" s="152"/>
      <c r="P14" s="160"/>
      <c r="Q14" s="144">
        <f t="shared" si="16"/>
        <v>0</v>
      </c>
      <c r="S14" s="152"/>
      <c r="T14" s="160"/>
      <c r="U14" s="144">
        <f t="shared" si="17"/>
        <v>0</v>
      </c>
      <c r="W14" s="152"/>
      <c r="X14" s="160"/>
      <c r="Y14" s="144">
        <f t="shared" si="18"/>
        <v>0</v>
      </c>
      <c r="AA14" s="152"/>
      <c r="AB14" s="160"/>
      <c r="AC14" s="144">
        <f t="shared" si="19"/>
        <v>0</v>
      </c>
      <c r="AE14" s="71">
        <f t="shared" si="7"/>
        <v>0</v>
      </c>
    </row>
    <row r="15" spans="2:31" ht="15.75" thickBot="1" x14ac:dyDescent="0.3">
      <c r="B15" s="145" t="s">
        <v>10</v>
      </c>
      <c r="C15" s="146" t="s">
        <v>5</v>
      </c>
      <c r="D15" s="160"/>
      <c r="E15" s="144">
        <f t="shared" ref="E15:E21" si="20">D15*12</f>
        <v>0</v>
      </c>
      <c r="F15" s="10"/>
      <c r="G15" s="152"/>
      <c r="H15" s="160"/>
      <c r="I15" s="144">
        <f t="shared" si="14"/>
        <v>0</v>
      </c>
      <c r="K15" s="152"/>
      <c r="L15" s="160"/>
      <c r="M15" s="144">
        <f t="shared" si="15"/>
        <v>0</v>
      </c>
      <c r="O15" s="152"/>
      <c r="P15" s="160"/>
      <c r="Q15" s="144">
        <f t="shared" si="16"/>
        <v>0</v>
      </c>
      <c r="S15" s="152"/>
      <c r="T15" s="160"/>
      <c r="U15" s="144">
        <f t="shared" si="17"/>
        <v>0</v>
      </c>
      <c r="W15" s="152"/>
      <c r="X15" s="160"/>
      <c r="Y15" s="144">
        <f t="shared" si="18"/>
        <v>0</v>
      </c>
      <c r="AA15" s="152"/>
      <c r="AB15" s="160"/>
      <c r="AC15" s="144">
        <f t="shared" si="19"/>
        <v>0</v>
      </c>
      <c r="AE15" s="71">
        <f t="shared" si="7"/>
        <v>0</v>
      </c>
    </row>
    <row r="16" spans="2:31" ht="15.75" thickBot="1" x14ac:dyDescent="0.3">
      <c r="B16" s="145" t="s">
        <v>11</v>
      </c>
      <c r="C16" s="146" t="s">
        <v>3</v>
      </c>
      <c r="D16" s="160"/>
      <c r="E16" s="144">
        <f t="shared" si="20"/>
        <v>0</v>
      </c>
      <c r="F16" s="10"/>
      <c r="G16" s="152"/>
      <c r="H16" s="160"/>
      <c r="I16" s="144">
        <f t="shared" si="14"/>
        <v>0</v>
      </c>
      <c r="K16" s="152"/>
      <c r="L16" s="160"/>
      <c r="M16" s="144">
        <f t="shared" si="15"/>
        <v>0</v>
      </c>
      <c r="O16" s="152"/>
      <c r="P16" s="160"/>
      <c r="Q16" s="144">
        <f t="shared" si="16"/>
        <v>0</v>
      </c>
      <c r="S16" s="152"/>
      <c r="T16" s="160"/>
      <c r="U16" s="144">
        <f t="shared" si="17"/>
        <v>0</v>
      </c>
      <c r="W16" s="152"/>
      <c r="X16" s="160"/>
      <c r="Y16" s="144">
        <f t="shared" si="18"/>
        <v>0</v>
      </c>
      <c r="AA16" s="152"/>
      <c r="AB16" s="160"/>
      <c r="AC16" s="144">
        <f t="shared" si="19"/>
        <v>0</v>
      </c>
      <c r="AE16" s="71">
        <f t="shared" si="7"/>
        <v>0</v>
      </c>
    </row>
    <row r="17" spans="2:31" ht="15.75" thickBot="1" x14ac:dyDescent="0.3">
      <c r="B17" s="145" t="s">
        <v>12</v>
      </c>
      <c r="C17" s="146" t="s">
        <v>3</v>
      </c>
      <c r="D17" s="160"/>
      <c r="E17" s="144">
        <f t="shared" si="20"/>
        <v>0</v>
      </c>
      <c r="F17" s="10"/>
      <c r="G17" s="152"/>
      <c r="H17" s="160"/>
      <c r="I17" s="144">
        <f t="shared" si="14"/>
        <v>0</v>
      </c>
      <c r="K17" s="152"/>
      <c r="L17" s="160"/>
      <c r="M17" s="144">
        <f t="shared" si="15"/>
        <v>0</v>
      </c>
      <c r="O17" s="152"/>
      <c r="P17" s="160"/>
      <c r="Q17" s="144">
        <f t="shared" si="16"/>
        <v>0</v>
      </c>
      <c r="S17" s="152"/>
      <c r="T17" s="160"/>
      <c r="U17" s="144">
        <f t="shared" si="17"/>
        <v>0</v>
      </c>
      <c r="W17" s="152"/>
      <c r="X17" s="160"/>
      <c r="Y17" s="144">
        <f t="shared" si="18"/>
        <v>0</v>
      </c>
      <c r="AA17" s="152"/>
      <c r="AB17" s="160"/>
      <c r="AC17" s="144">
        <f t="shared" si="19"/>
        <v>0</v>
      </c>
      <c r="AE17" s="71">
        <f t="shared" si="7"/>
        <v>0</v>
      </c>
    </row>
    <row r="18" spans="2:31" ht="15.75" thickBot="1" x14ac:dyDescent="0.3">
      <c r="B18" s="145" t="s">
        <v>13</v>
      </c>
      <c r="C18" s="146" t="s">
        <v>5</v>
      </c>
      <c r="D18" s="160"/>
      <c r="E18" s="144">
        <f t="shared" si="20"/>
        <v>0</v>
      </c>
      <c r="F18" s="10"/>
      <c r="G18" s="152"/>
      <c r="H18" s="160"/>
      <c r="I18" s="144">
        <f t="shared" si="14"/>
        <v>0</v>
      </c>
      <c r="K18" s="152"/>
      <c r="L18" s="160"/>
      <c r="M18" s="144">
        <f t="shared" si="15"/>
        <v>0</v>
      </c>
      <c r="O18" s="152"/>
      <c r="P18" s="160"/>
      <c r="Q18" s="144">
        <f t="shared" si="16"/>
        <v>0</v>
      </c>
      <c r="S18" s="152"/>
      <c r="T18" s="160"/>
      <c r="U18" s="144">
        <f t="shared" si="17"/>
        <v>0</v>
      </c>
      <c r="W18" s="152"/>
      <c r="X18" s="160"/>
      <c r="Y18" s="144">
        <f t="shared" si="18"/>
        <v>0</v>
      </c>
      <c r="AA18" s="152"/>
      <c r="AB18" s="160"/>
      <c r="AC18" s="144">
        <f t="shared" si="19"/>
        <v>0</v>
      </c>
      <c r="AE18" s="71">
        <f t="shared" si="7"/>
        <v>0</v>
      </c>
    </row>
    <row r="19" spans="2:31" ht="15.75" thickBot="1" x14ac:dyDescent="0.3">
      <c r="B19" s="145" t="s">
        <v>14</v>
      </c>
      <c r="C19" s="146" t="s">
        <v>5</v>
      </c>
      <c r="D19" s="160"/>
      <c r="E19" s="144">
        <f t="shared" si="20"/>
        <v>0</v>
      </c>
      <c r="F19" s="10"/>
      <c r="G19" s="152"/>
      <c r="H19" s="160"/>
      <c r="I19" s="144">
        <f t="shared" si="14"/>
        <v>0</v>
      </c>
      <c r="K19" s="152"/>
      <c r="L19" s="160"/>
      <c r="M19" s="144">
        <f t="shared" si="15"/>
        <v>0</v>
      </c>
      <c r="O19" s="152"/>
      <c r="P19" s="160"/>
      <c r="Q19" s="144">
        <f t="shared" si="16"/>
        <v>0</v>
      </c>
      <c r="S19" s="152"/>
      <c r="T19" s="160"/>
      <c r="U19" s="144">
        <f t="shared" si="17"/>
        <v>0</v>
      </c>
      <c r="W19" s="152"/>
      <c r="X19" s="160"/>
      <c r="Y19" s="144">
        <f t="shared" si="18"/>
        <v>0</v>
      </c>
      <c r="AA19" s="152"/>
      <c r="AB19" s="160"/>
      <c r="AC19" s="144">
        <f t="shared" si="19"/>
        <v>0</v>
      </c>
      <c r="AE19" s="71">
        <f t="shared" si="7"/>
        <v>0</v>
      </c>
    </row>
    <row r="20" spans="2:31" ht="15.75" thickBot="1" x14ac:dyDescent="0.3">
      <c r="B20" s="145" t="s">
        <v>16</v>
      </c>
      <c r="C20" s="146" t="s">
        <v>7</v>
      </c>
      <c r="D20" s="160"/>
      <c r="E20" s="144">
        <f t="shared" si="20"/>
        <v>0</v>
      </c>
      <c r="F20" s="10"/>
      <c r="G20" s="152"/>
      <c r="H20" s="160"/>
      <c r="I20" s="144">
        <f t="shared" si="14"/>
        <v>0</v>
      </c>
      <c r="K20" s="152"/>
      <c r="L20" s="160"/>
      <c r="M20" s="144">
        <f t="shared" si="15"/>
        <v>0</v>
      </c>
      <c r="O20" s="152"/>
      <c r="P20" s="160"/>
      <c r="Q20" s="144">
        <f t="shared" si="16"/>
        <v>0</v>
      </c>
      <c r="S20" s="152"/>
      <c r="T20" s="160"/>
      <c r="U20" s="144">
        <f t="shared" si="17"/>
        <v>0</v>
      </c>
      <c r="W20" s="152"/>
      <c r="X20" s="160"/>
      <c r="Y20" s="144">
        <f t="shared" si="18"/>
        <v>0</v>
      </c>
      <c r="AA20" s="152"/>
      <c r="AB20" s="160"/>
      <c r="AC20" s="144">
        <f t="shared" si="19"/>
        <v>0</v>
      </c>
      <c r="AE20" s="71">
        <f t="shared" si="7"/>
        <v>0</v>
      </c>
    </row>
    <row r="21" spans="2:31" ht="15.75" thickBot="1" x14ac:dyDescent="0.3">
      <c r="B21" s="143" t="s">
        <v>17</v>
      </c>
      <c r="C21" s="69" t="s">
        <v>7</v>
      </c>
      <c r="D21" s="160"/>
      <c r="E21" s="144">
        <f t="shared" si="20"/>
        <v>0</v>
      </c>
      <c r="F21" s="10"/>
      <c r="G21" s="69"/>
      <c r="H21" s="160"/>
      <c r="I21" s="144">
        <f t="shared" si="14"/>
        <v>0</v>
      </c>
      <c r="K21" s="69"/>
      <c r="L21" s="160"/>
      <c r="M21" s="144">
        <f t="shared" si="15"/>
        <v>0</v>
      </c>
      <c r="O21" s="69"/>
      <c r="P21" s="160"/>
      <c r="Q21" s="144">
        <f t="shared" si="16"/>
        <v>0</v>
      </c>
      <c r="S21" s="69"/>
      <c r="T21" s="160"/>
      <c r="U21" s="144">
        <f t="shared" si="17"/>
        <v>0</v>
      </c>
      <c r="W21" s="69"/>
      <c r="X21" s="160"/>
      <c r="Y21" s="144">
        <f t="shared" si="18"/>
        <v>0</v>
      </c>
      <c r="AA21" s="69"/>
      <c r="AB21" s="160"/>
      <c r="AC21" s="144">
        <f t="shared" si="19"/>
        <v>0</v>
      </c>
      <c r="AE21" s="71">
        <f t="shared" si="7"/>
        <v>0</v>
      </c>
    </row>
    <row r="22" spans="2:31" ht="15.75" thickBot="1" x14ac:dyDescent="0.3">
      <c r="B22" s="147"/>
      <c r="C22" s="151" t="s">
        <v>114</v>
      </c>
      <c r="D22" s="149">
        <f>SUM(D6:D21)</f>
        <v>0</v>
      </c>
      <c r="E22" s="150">
        <f>SUM(E6,E7,E8,E9,E10,E11,E12,E13,E14,E15,E16,E17,E18,E19,E20,E21)</f>
        <v>0</v>
      </c>
      <c r="F22" s="10"/>
      <c r="G22" s="148"/>
      <c r="H22" s="149">
        <f>SUM(H6:H21)</f>
        <v>0</v>
      </c>
      <c r="I22" s="150">
        <f>SUM(I6:I21)</f>
        <v>0</v>
      </c>
      <c r="K22" s="148"/>
      <c r="L22" s="149">
        <f>SUM(L6:L21)</f>
        <v>0</v>
      </c>
      <c r="M22" s="150">
        <f>SUM(M6:M21)</f>
        <v>0</v>
      </c>
      <c r="O22" s="148"/>
      <c r="P22" s="149">
        <f>SUM(P6:P21)</f>
        <v>0</v>
      </c>
      <c r="Q22" s="150">
        <f>SUM(Q6:Q21)</f>
        <v>0</v>
      </c>
      <c r="S22" s="148"/>
      <c r="T22" s="149">
        <f>SUM(T6:T21)</f>
        <v>0</v>
      </c>
      <c r="U22" s="150">
        <f>SUM(U6:U21)</f>
        <v>0</v>
      </c>
      <c r="W22" s="148"/>
      <c r="X22" s="149">
        <f>SUM(X6:X21)</f>
        <v>0</v>
      </c>
      <c r="Y22" s="150">
        <f>SUM(Y6:Y21)</f>
        <v>0</v>
      </c>
      <c r="AA22" s="148"/>
      <c r="AB22" s="149">
        <f>SUM(AB6:AB21)</f>
        <v>0</v>
      </c>
      <c r="AC22" s="150">
        <f>SUM(AC6:AC21)</f>
        <v>0</v>
      </c>
      <c r="AE22" s="150">
        <f>SUM(AE6:AE21)</f>
        <v>0</v>
      </c>
    </row>
    <row r="23" spans="2:31" ht="15.75" thickBot="1" x14ac:dyDescent="0.3">
      <c r="D23" s="42"/>
      <c r="E23" s="49"/>
      <c r="F23" s="10"/>
      <c r="G23" s="153"/>
      <c r="H23" s="153"/>
      <c r="I23" s="156"/>
      <c r="K23" s="153"/>
      <c r="L23" s="153"/>
      <c r="M23" s="156"/>
      <c r="O23" s="153"/>
      <c r="P23" s="153"/>
      <c r="Q23" s="156"/>
      <c r="S23" s="153"/>
      <c r="T23" s="153"/>
      <c r="U23" s="156"/>
      <c r="W23" s="153"/>
      <c r="X23" s="153"/>
      <c r="Y23" s="156"/>
      <c r="AA23" s="153"/>
      <c r="AB23" s="153"/>
      <c r="AC23" s="156"/>
      <c r="AE23" s="156"/>
    </row>
    <row r="24" spans="2:31" ht="95.25" thickBot="1" x14ac:dyDescent="0.3">
      <c r="B24" s="154" t="s">
        <v>93</v>
      </c>
      <c r="C24" s="52" t="s">
        <v>109</v>
      </c>
      <c r="D24" s="52" t="s">
        <v>110</v>
      </c>
      <c r="E24" s="52" t="s">
        <v>116</v>
      </c>
      <c r="G24" s="51" t="s">
        <v>117</v>
      </c>
      <c r="H24" s="52" t="s">
        <v>118</v>
      </c>
      <c r="I24" s="52" t="s">
        <v>119</v>
      </c>
      <c r="K24" s="51" t="s">
        <v>120</v>
      </c>
      <c r="L24" s="52" t="s">
        <v>121</v>
      </c>
      <c r="M24" s="52" t="s">
        <v>122</v>
      </c>
      <c r="O24" s="51" t="s">
        <v>123</v>
      </c>
      <c r="P24" s="52" t="s">
        <v>124</v>
      </c>
      <c r="Q24" s="52" t="s">
        <v>125</v>
      </c>
      <c r="S24" s="51" t="s">
        <v>126</v>
      </c>
      <c r="T24" s="52" t="s">
        <v>127</v>
      </c>
      <c r="U24" s="52" t="s">
        <v>128</v>
      </c>
      <c r="W24" s="51" t="s">
        <v>129</v>
      </c>
      <c r="X24" s="52" t="s">
        <v>130</v>
      </c>
      <c r="Y24" s="52" t="s">
        <v>131</v>
      </c>
      <c r="AA24" s="51" t="s">
        <v>132</v>
      </c>
      <c r="AB24" s="52" t="s">
        <v>133</v>
      </c>
      <c r="AC24" s="52" t="s">
        <v>134</v>
      </c>
      <c r="AE24" s="51" t="s">
        <v>142</v>
      </c>
    </row>
    <row r="25" spans="2:31" ht="13.5" customHeight="1" thickBot="1" x14ac:dyDescent="0.3">
      <c r="B25" s="69" t="s">
        <v>112</v>
      </c>
      <c r="C25" s="69">
        <v>245</v>
      </c>
      <c r="D25" s="159"/>
      <c r="E25" s="71">
        <f>C25*D25</f>
        <v>0</v>
      </c>
      <c r="G25" s="69">
        <v>245</v>
      </c>
      <c r="H25" s="159"/>
      <c r="I25" s="71">
        <f>G25*H25</f>
        <v>0</v>
      </c>
      <c r="K25" s="69">
        <v>245</v>
      </c>
      <c r="L25" s="159"/>
      <c r="M25" s="71">
        <f>K25*L25</f>
        <v>0</v>
      </c>
      <c r="O25" s="69">
        <v>245</v>
      </c>
      <c r="P25" s="159"/>
      <c r="Q25" s="71">
        <f>O25*P25</f>
        <v>0</v>
      </c>
      <c r="S25" s="69">
        <v>245</v>
      </c>
      <c r="T25" s="159"/>
      <c r="U25" s="71">
        <f>S25*T25</f>
        <v>0</v>
      </c>
      <c r="W25" s="69">
        <v>245</v>
      </c>
      <c r="X25" s="159"/>
      <c r="Y25" s="71">
        <f>W25*X25</f>
        <v>0</v>
      </c>
      <c r="AA25" s="69">
        <v>245</v>
      </c>
      <c r="AB25" s="159"/>
      <c r="AC25" s="71">
        <f>AA25*AB25</f>
        <v>0</v>
      </c>
      <c r="AE25" s="71">
        <f t="shared" ref="AE25:AE26" si="21">SUM(AC25,Y25,U25,Q25,M25,I25,E25)</f>
        <v>0</v>
      </c>
    </row>
    <row r="26" spans="2:31" ht="13.5" customHeight="1" thickBot="1" x14ac:dyDescent="0.3">
      <c r="B26" s="69" t="s">
        <v>113</v>
      </c>
      <c r="C26" s="69">
        <v>164</v>
      </c>
      <c r="D26" s="159"/>
      <c r="E26" s="71">
        <f t="shared" ref="E26" si="22">C26*D26</f>
        <v>0</v>
      </c>
      <c r="G26" s="69">
        <v>164</v>
      </c>
      <c r="H26" s="159"/>
      <c r="I26" s="71">
        <f t="shared" ref="I26" si="23">G26*H26</f>
        <v>0</v>
      </c>
      <c r="K26" s="69">
        <v>164</v>
      </c>
      <c r="L26" s="159"/>
      <c r="M26" s="71">
        <f t="shared" ref="M26" si="24">K26*L26</f>
        <v>0</v>
      </c>
      <c r="O26" s="69">
        <v>164</v>
      </c>
      <c r="P26" s="159"/>
      <c r="Q26" s="71">
        <f t="shared" ref="Q26" si="25">O26*P26</f>
        <v>0</v>
      </c>
      <c r="S26" s="69">
        <v>164</v>
      </c>
      <c r="T26" s="159"/>
      <c r="U26" s="71">
        <f t="shared" ref="U26" si="26">S26*T26</f>
        <v>0</v>
      </c>
      <c r="W26" s="69">
        <v>164</v>
      </c>
      <c r="X26" s="159"/>
      <c r="Y26" s="71">
        <f t="shared" ref="Y26" si="27">W26*X26</f>
        <v>0</v>
      </c>
      <c r="AA26" s="69">
        <v>164</v>
      </c>
      <c r="AB26" s="159"/>
      <c r="AC26" s="71">
        <f t="shared" ref="AC26" si="28">AA26*AB26</f>
        <v>0</v>
      </c>
      <c r="AE26" s="71">
        <f t="shared" si="21"/>
        <v>0</v>
      </c>
    </row>
    <row r="27" spans="2:31" ht="13.5" customHeight="1" thickBot="1" x14ac:dyDescent="0.3">
      <c r="B27" s="147"/>
      <c r="C27" s="148" t="s">
        <v>111</v>
      </c>
      <c r="D27" s="149"/>
      <c r="E27" s="150">
        <f>SUM(E25:E26)</f>
        <v>0</v>
      </c>
      <c r="G27" s="148"/>
      <c r="H27" s="149"/>
      <c r="I27" s="150">
        <f>SUM(I25:I26)</f>
        <v>0</v>
      </c>
      <c r="K27" s="148"/>
      <c r="L27" s="149"/>
      <c r="M27" s="150">
        <f>SUM(M25:M26)</f>
        <v>0</v>
      </c>
      <c r="O27" s="148"/>
      <c r="P27" s="149"/>
      <c r="Q27" s="150">
        <f>SUM(Q25:Q26)</f>
        <v>0</v>
      </c>
      <c r="S27" s="148"/>
      <c r="T27" s="149"/>
      <c r="U27" s="150">
        <f>SUM(U25:U26)</f>
        <v>0</v>
      </c>
      <c r="W27" s="148"/>
      <c r="X27" s="149"/>
      <c r="Y27" s="150">
        <f>SUM(Y25:Y26)</f>
        <v>0</v>
      </c>
      <c r="AA27" s="148"/>
      <c r="AB27" s="149"/>
      <c r="AC27" s="150">
        <f>SUM(AC25:AC26)</f>
        <v>0</v>
      </c>
      <c r="AE27" s="150">
        <f>SUM(AE25:AE26)</f>
        <v>0</v>
      </c>
    </row>
    <row r="28" spans="2:31" ht="13.5" customHeight="1" thickBot="1" x14ac:dyDescent="0.3">
      <c r="G28" s="10"/>
      <c r="H28" s="10"/>
      <c r="I28" s="10"/>
      <c r="K28" s="10"/>
      <c r="L28" s="10"/>
      <c r="M28" s="10"/>
      <c r="O28" s="10"/>
      <c r="P28" s="10"/>
      <c r="Q28" s="10"/>
      <c r="S28" s="10"/>
      <c r="T28" s="10"/>
      <c r="U28" s="10"/>
      <c r="W28" s="10"/>
      <c r="X28" s="10"/>
      <c r="Y28" s="10"/>
      <c r="AA28" s="10"/>
      <c r="AB28" s="10"/>
      <c r="AC28" s="10"/>
      <c r="AE28" s="10"/>
    </row>
    <row r="29" spans="2:31" ht="28.5" customHeight="1" thickBot="1" x14ac:dyDescent="0.3">
      <c r="B29" s="51" t="s">
        <v>19</v>
      </c>
      <c r="C29" s="52" t="s">
        <v>0</v>
      </c>
      <c r="D29" s="52"/>
      <c r="E29" s="52" t="s">
        <v>116</v>
      </c>
      <c r="G29" s="154"/>
      <c r="H29" s="155"/>
      <c r="I29" s="155" t="s">
        <v>119</v>
      </c>
      <c r="K29" s="154"/>
      <c r="L29" s="155"/>
      <c r="M29" s="155" t="s">
        <v>122</v>
      </c>
      <c r="O29" s="154"/>
      <c r="P29" s="155"/>
      <c r="Q29" s="155" t="s">
        <v>125</v>
      </c>
      <c r="S29" s="154"/>
      <c r="T29" s="155"/>
      <c r="U29" s="155" t="s">
        <v>128</v>
      </c>
      <c r="W29" s="154"/>
      <c r="X29" s="155"/>
      <c r="Y29" s="155" t="s">
        <v>131</v>
      </c>
      <c r="AA29" s="154"/>
      <c r="AB29" s="155"/>
      <c r="AC29" s="155" t="s">
        <v>134</v>
      </c>
      <c r="AE29" s="154" t="s">
        <v>142</v>
      </c>
    </row>
    <row r="30" spans="2:31" ht="15.75" thickBot="1" x14ac:dyDescent="0.3">
      <c r="B30" s="147"/>
      <c r="C30" s="151" t="s">
        <v>114</v>
      </c>
      <c r="D30" s="149"/>
      <c r="E30" s="150">
        <f>E22</f>
        <v>0</v>
      </c>
      <c r="F30" s="10"/>
      <c r="G30" s="148"/>
      <c r="H30" s="149"/>
      <c r="I30" s="150">
        <f>I22</f>
        <v>0</v>
      </c>
      <c r="K30" s="148"/>
      <c r="L30" s="149"/>
      <c r="M30" s="150">
        <f>M22</f>
        <v>0</v>
      </c>
      <c r="O30" s="148"/>
      <c r="P30" s="149"/>
      <c r="Q30" s="150">
        <f>Q22</f>
        <v>0</v>
      </c>
      <c r="S30" s="148"/>
      <c r="T30" s="149"/>
      <c r="U30" s="150">
        <f>U22</f>
        <v>0</v>
      </c>
      <c r="W30" s="148"/>
      <c r="X30" s="149"/>
      <c r="Y30" s="150">
        <f>Y22</f>
        <v>0</v>
      </c>
      <c r="AA30" s="148"/>
      <c r="AB30" s="149"/>
      <c r="AC30" s="150">
        <f>AC22</f>
        <v>0</v>
      </c>
      <c r="AE30" s="150">
        <f>AE22</f>
        <v>0</v>
      </c>
    </row>
    <row r="31" spans="2:31" ht="13.5" customHeight="1" thickBot="1" x14ac:dyDescent="0.3">
      <c r="B31" s="147"/>
      <c r="C31" s="148" t="s">
        <v>111</v>
      </c>
      <c r="D31" s="149"/>
      <c r="E31" s="150">
        <f>E27</f>
        <v>0</v>
      </c>
      <c r="G31" s="148"/>
      <c r="H31" s="149"/>
      <c r="I31" s="150">
        <f>I27</f>
        <v>0</v>
      </c>
      <c r="K31" s="148"/>
      <c r="L31" s="149"/>
      <c r="M31" s="150">
        <f>M27</f>
        <v>0</v>
      </c>
      <c r="O31" s="148"/>
      <c r="P31" s="149"/>
      <c r="Q31" s="150">
        <f>Q27</f>
        <v>0</v>
      </c>
      <c r="S31" s="148"/>
      <c r="T31" s="149"/>
      <c r="U31" s="150">
        <f>U27</f>
        <v>0</v>
      </c>
      <c r="W31" s="148"/>
      <c r="X31" s="149"/>
      <c r="Y31" s="150">
        <f>Y27</f>
        <v>0</v>
      </c>
      <c r="AA31" s="148"/>
      <c r="AB31" s="149"/>
      <c r="AC31" s="150">
        <f>AC27</f>
        <v>0</v>
      </c>
      <c r="AE31" s="150">
        <f>AE27</f>
        <v>0</v>
      </c>
    </row>
    <row r="32" spans="2:31" ht="13.5" customHeight="1" thickBot="1" x14ac:dyDescent="0.3">
      <c r="B32" s="147"/>
      <c r="C32" s="151" t="s">
        <v>115</v>
      </c>
      <c r="D32" s="149"/>
      <c r="E32" s="150">
        <f>SUM(E29:E31)</f>
        <v>0</v>
      </c>
      <c r="G32" s="148"/>
      <c r="H32" s="149"/>
      <c r="I32" s="150">
        <f>SUM(I29:I31)</f>
        <v>0</v>
      </c>
      <c r="K32" s="148"/>
      <c r="L32" s="149"/>
      <c r="M32" s="150">
        <f>SUM(M29:M31)</f>
        <v>0</v>
      </c>
      <c r="O32" s="148"/>
      <c r="P32" s="149"/>
      <c r="Q32" s="150">
        <f>SUM(Q29:Q31)</f>
        <v>0</v>
      </c>
      <c r="S32" s="148"/>
      <c r="T32" s="149"/>
      <c r="U32" s="150">
        <f>SUM(U29:U31)</f>
        <v>0</v>
      </c>
      <c r="W32" s="148"/>
      <c r="X32" s="149"/>
      <c r="Y32" s="150">
        <f>SUM(Y29:Y31)</f>
        <v>0</v>
      </c>
      <c r="AA32" s="148"/>
      <c r="AB32" s="149"/>
      <c r="AC32" s="150">
        <f>SUM(AC29:AC31)</f>
        <v>0</v>
      </c>
      <c r="AE32" s="150">
        <f>SUM(AE29:AE31)</f>
        <v>0</v>
      </c>
    </row>
    <row r="33" spans="2:31" ht="13.5" customHeight="1" thickBot="1" x14ac:dyDescent="0.3">
      <c r="B33" s="151" t="s">
        <v>143</v>
      </c>
      <c r="C33" s="157" t="s">
        <v>145</v>
      </c>
      <c r="D33" s="161"/>
      <c r="E33" s="150">
        <f>E32*D33</f>
        <v>0</v>
      </c>
      <c r="G33" s="148"/>
      <c r="H33" s="149"/>
      <c r="I33" s="150">
        <f>I32*D33</f>
        <v>0</v>
      </c>
      <c r="K33" s="148"/>
      <c r="L33" s="149"/>
      <c r="M33" s="150">
        <f>M32*$D$33</f>
        <v>0</v>
      </c>
      <c r="O33" s="148"/>
      <c r="P33" s="149"/>
      <c r="Q33" s="150">
        <f>Q32*$D$33</f>
        <v>0</v>
      </c>
      <c r="S33" s="148"/>
      <c r="T33" s="149"/>
      <c r="U33" s="150">
        <f>U32*$D$33</f>
        <v>0</v>
      </c>
      <c r="W33" s="148"/>
      <c r="X33" s="149"/>
      <c r="Y33" s="150">
        <f>Y32*$D$33</f>
        <v>0</v>
      </c>
      <c r="AA33" s="148"/>
      <c r="AB33" s="149"/>
      <c r="AC33" s="150">
        <f>AC32*$D$33</f>
        <v>0</v>
      </c>
      <c r="AE33" s="150">
        <f>AE32*$D$33</f>
        <v>0</v>
      </c>
    </row>
    <row r="34" spans="2:31" ht="13.5" customHeight="1" thickBot="1" x14ac:dyDescent="0.3">
      <c r="B34" s="147"/>
      <c r="C34" s="151" t="s">
        <v>144</v>
      </c>
      <c r="D34" s="149"/>
      <c r="E34" s="150">
        <f>E32-E33</f>
        <v>0</v>
      </c>
      <c r="G34" s="148"/>
      <c r="H34" s="149"/>
      <c r="I34" s="150">
        <f>I32-I33</f>
        <v>0</v>
      </c>
      <c r="K34" s="148"/>
      <c r="L34" s="149"/>
      <c r="M34" s="150">
        <f>M32-M33</f>
        <v>0</v>
      </c>
      <c r="O34" s="148"/>
      <c r="P34" s="149"/>
      <c r="Q34" s="150">
        <f>Q32-Q33</f>
        <v>0</v>
      </c>
      <c r="S34" s="148"/>
      <c r="T34" s="149"/>
      <c r="U34" s="150">
        <f>U32-U33</f>
        <v>0</v>
      </c>
      <c r="W34" s="148"/>
      <c r="X34" s="149"/>
      <c r="Y34" s="150">
        <f>Y32-Y33</f>
        <v>0</v>
      </c>
      <c r="AA34" s="148"/>
      <c r="AB34" s="149"/>
      <c r="AC34" s="150">
        <f>AC32-AC33</f>
        <v>0</v>
      </c>
      <c r="AE34" s="150">
        <f>AE32-AE33</f>
        <v>0</v>
      </c>
    </row>
    <row r="35" spans="2:31" ht="13.5" customHeight="1" x14ac:dyDescent="0.25"/>
    <row r="36" spans="2:31" ht="13.5" customHeight="1" x14ac:dyDescent="0.25"/>
    <row r="37" spans="2:31" ht="13.5" customHeight="1" x14ac:dyDescent="0.25"/>
    <row r="44" spans="2:31" ht="4.5" customHeight="1" x14ac:dyDescent="0.25"/>
  </sheetData>
  <sheetProtection algorithmName="SHA-512" hashValue="UWVgdAHm3l7ip5qLEO5WCwrdMApqg4tHrmjIrXMEoo3MTiZyLizvP3R+0EqpJIjHUIaGQb7Tdy6IP+qqs3jB2Q==" saltValue="/rl6/K6AXU4t8529EzDWTg==" spinCount="100000" sheet="1" objects="1" scenarios="1"/>
  <pageMargins left="0.25" right="0.25" top="0.75" bottom="0.75" header="0.3" footer="0.3"/>
  <pageSetup paperSize="17" scale="3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C76"/>
  <sheetViews>
    <sheetView topLeftCell="A17" workbookViewId="0">
      <selection activeCell="B1" sqref="B1:Y31"/>
    </sheetView>
  </sheetViews>
  <sheetFormatPr defaultRowHeight="15" x14ac:dyDescent="0.25"/>
  <cols>
    <col min="2" max="2" width="51" customWidth="1"/>
    <col min="3" max="3" width="41.28515625" customWidth="1"/>
    <col min="4" max="4" width="16.7109375" customWidth="1"/>
    <col min="5" max="5" width="11.7109375" customWidth="1"/>
    <col min="6" max="6" width="11.28515625" customWidth="1"/>
    <col min="7" max="7" width="16.42578125" style="23" hidden="1" customWidth="1"/>
    <col min="8" max="8" width="11.7109375" style="23" hidden="1" customWidth="1"/>
    <col min="9" max="9" width="22.28515625" hidden="1" customWidth="1"/>
    <col min="10" max="10" width="13.5703125" hidden="1" customWidth="1"/>
    <col min="11" max="12" width="11" hidden="1" customWidth="1"/>
    <col min="13" max="13" width="16.140625" style="26" hidden="1" customWidth="1"/>
    <col min="14" max="14" width="22" style="26" hidden="1" customWidth="1"/>
    <col min="15" max="15" width="11" style="26" hidden="1" customWidth="1"/>
    <col min="16" max="16" width="11" style="23" hidden="1" customWidth="1"/>
    <col min="17" max="17" width="8" style="32" hidden="1" customWidth="1"/>
    <col min="18" max="18" width="10.85546875" style="23" hidden="1" customWidth="1"/>
    <col min="19" max="19" width="48.28515625" style="23" hidden="1" customWidth="1"/>
    <col min="20" max="20" width="11" style="26" hidden="1" customWidth="1"/>
    <col min="21" max="21" width="11" style="23" hidden="1" customWidth="1"/>
    <col min="22" max="22" width="17.5703125" hidden="1" customWidth="1"/>
    <col min="23" max="23" width="17.85546875" hidden="1" customWidth="1"/>
    <col min="24" max="24" width="13.42578125" bestFit="1" customWidth="1"/>
    <col min="25" max="25" width="20" customWidth="1"/>
    <col min="26" max="26" width="15.42578125" customWidth="1"/>
    <col min="27" max="27" width="12.42578125" customWidth="1"/>
    <col min="28" max="28" width="10.42578125" bestFit="1" customWidth="1"/>
    <col min="29" max="29" width="13.140625" bestFit="1" customWidth="1"/>
  </cols>
  <sheetData>
    <row r="1" spans="2:29" ht="18.75" x14ac:dyDescent="0.3">
      <c r="B1" s="38" t="s">
        <v>101</v>
      </c>
      <c r="G1" s="23" t="e">
        <f>+S:QG:RG:SG:U:QG</f>
        <v>#VALUE!</v>
      </c>
    </row>
    <row r="2" spans="2:29" ht="15.75" thickBot="1" x14ac:dyDescent="0.3">
      <c r="Z2" s="10"/>
    </row>
    <row r="3" spans="2:29" ht="79.5" thickBot="1" x14ac:dyDescent="0.3">
      <c r="B3" s="51" t="s">
        <v>19</v>
      </c>
      <c r="C3" s="52" t="s">
        <v>0</v>
      </c>
      <c r="D3" s="52" t="s">
        <v>95</v>
      </c>
      <c r="E3" s="52" t="s">
        <v>94</v>
      </c>
      <c r="F3" s="52" t="s">
        <v>96</v>
      </c>
      <c r="G3" s="53" t="s">
        <v>38</v>
      </c>
      <c r="H3" s="53" t="s">
        <v>41</v>
      </c>
      <c r="I3" s="52" t="s">
        <v>39</v>
      </c>
      <c r="J3" s="52" t="s">
        <v>42</v>
      </c>
      <c r="K3" s="52" t="s">
        <v>44</v>
      </c>
      <c r="L3" s="52" t="s">
        <v>63</v>
      </c>
      <c r="M3" s="54" t="s">
        <v>45</v>
      </c>
      <c r="N3" s="54" t="s">
        <v>49</v>
      </c>
      <c r="O3" s="54" t="s">
        <v>50</v>
      </c>
      <c r="P3" s="53" t="s">
        <v>48</v>
      </c>
      <c r="Q3" s="55" t="s">
        <v>51</v>
      </c>
      <c r="R3" s="53" t="s">
        <v>53</v>
      </c>
      <c r="S3" s="53" t="s">
        <v>54</v>
      </c>
      <c r="T3" s="54" t="s">
        <v>47</v>
      </c>
      <c r="U3" s="53" t="s">
        <v>59</v>
      </c>
      <c r="V3" s="52" t="s">
        <v>46</v>
      </c>
      <c r="W3" s="52" t="s">
        <v>43</v>
      </c>
      <c r="X3" s="52" t="s">
        <v>97</v>
      </c>
      <c r="Y3" s="52" t="s">
        <v>98</v>
      </c>
      <c r="Z3" s="10"/>
    </row>
    <row r="4" spans="2:29" ht="16.5" hidden="1" thickBot="1" x14ac:dyDescent="0.3">
      <c r="B4" s="56" t="s">
        <v>60</v>
      </c>
      <c r="C4" s="56" t="s">
        <v>57</v>
      </c>
      <c r="D4" s="56"/>
      <c r="E4" s="56"/>
      <c r="F4" s="56"/>
      <c r="G4" s="57">
        <v>960</v>
      </c>
      <c r="H4" s="57">
        <f>80*25.5</f>
        <v>2040</v>
      </c>
      <c r="I4" s="58">
        <f>H4/Y4</f>
        <v>8.5561497326203204E-2</v>
      </c>
      <c r="J4" s="57">
        <v>21802.5</v>
      </c>
      <c r="K4" s="56" t="s">
        <v>62</v>
      </c>
      <c r="L4" s="57">
        <v>19</v>
      </c>
      <c r="M4" s="59">
        <v>1147.5</v>
      </c>
      <c r="N4" s="60">
        <v>5</v>
      </c>
      <c r="O4" s="59">
        <v>552.5</v>
      </c>
      <c r="P4" s="57">
        <f>Y4/O4</f>
        <v>43.153846153846153</v>
      </c>
      <c r="Q4" s="61">
        <f>M4/O4</f>
        <v>2.0769230769230771</v>
      </c>
      <c r="R4" s="62">
        <f>P4/Q4</f>
        <v>20.777777777777775</v>
      </c>
      <c r="S4" s="57"/>
      <c r="T4" s="59"/>
      <c r="U4" s="57"/>
      <c r="V4" s="56"/>
      <c r="W4" s="56"/>
      <c r="X4" s="56"/>
      <c r="Y4" s="57">
        <f>H4+J4</f>
        <v>23842.5</v>
      </c>
      <c r="Z4" s="10"/>
    </row>
    <row r="5" spans="2:29" s="39" customFormat="1" ht="16.149999999999999" customHeight="1" thickBot="1" x14ac:dyDescent="0.3">
      <c r="B5" s="68" t="s">
        <v>55</v>
      </c>
      <c r="C5" s="69" t="s">
        <v>57</v>
      </c>
      <c r="D5" s="69"/>
      <c r="E5" s="69"/>
      <c r="F5" s="70">
        <v>992</v>
      </c>
      <c r="G5" s="71">
        <v>720</v>
      </c>
      <c r="H5" s="71">
        <f>G5/12*25.5</f>
        <v>1530</v>
      </c>
      <c r="I5" s="72">
        <f>H5/Y5</f>
        <v>5.9320719602977669E-2</v>
      </c>
      <c r="J5" s="71">
        <v>23766</v>
      </c>
      <c r="K5" s="71">
        <v>20706</v>
      </c>
      <c r="L5" s="71">
        <f>J5/M5</f>
        <v>21.507692307692309</v>
      </c>
      <c r="M5" s="73">
        <v>1105</v>
      </c>
      <c r="N5" s="73">
        <v>5</v>
      </c>
      <c r="O5" s="74">
        <v>552.5</v>
      </c>
      <c r="P5" s="71">
        <f>Y5/O5</f>
        <v>46.682352941176468</v>
      </c>
      <c r="Q5" s="75">
        <v>2</v>
      </c>
      <c r="R5" s="76">
        <f>P5/Q5</f>
        <v>23.341176470588234</v>
      </c>
      <c r="S5" s="71" t="s">
        <v>91</v>
      </c>
      <c r="T5" s="77">
        <v>2880</v>
      </c>
      <c r="U5" s="71">
        <f>Y5/T5</f>
        <v>8.9555555555555557</v>
      </c>
      <c r="V5" s="71">
        <v>8297.7000000000007</v>
      </c>
      <c r="W5" s="72">
        <f>V5/Y5</f>
        <v>0.32171603598014892</v>
      </c>
      <c r="X5" s="71">
        <v>11904</v>
      </c>
      <c r="Y5" s="71">
        <v>25792</v>
      </c>
      <c r="Z5" s="40"/>
    </row>
    <row r="6" spans="2:29" ht="16.149999999999999" hidden="1" customHeight="1" thickBot="1" x14ac:dyDescent="0.3">
      <c r="B6" s="78" t="s">
        <v>61</v>
      </c>
      <c r="C6" s="79" t="s">
        <v>58</v>
      </c>
      <c r="D6" s="79"/>
      <c r="E6" s="79"/>
      <c r="F6" s="79"/>
      <c r="G6" s="80">
        <v>960</v>
      </c>
      <c r="H6" s="80">
        <f>80*25.5</f>
        <v>2040</v>
      </c>
      <c r="I6" s="81">
        <f>H6/Y6</f>
        <v>6.4568200161420494E-2</v>
      </c>
      <c r="J6" s="80">
        <v>29554.5</v>
      </c>
      <c r="K6" s="79" t="s">
        <v>62</v>
      </c>
      <c r="L6" s="80">
        <v>19</v>
      </c>
      <c r="M6" s="82">
        <v>1555.5</v>
      </c>
      <c r="N6" s="83">
        <v>7</v>
      </c>
      <c r="O6" s="82">
        <v>773.5</v>
      </c>
      <c r="P6" s="80">
        <f>Y6/O6</f>
        <v>40.846153846153847</v>
      </c>
      <c r="Q6" s="84">
        <f>M6/O6</f>
        <v>2.0109890109890109</v>
      </c>
      <c r="R6" s="80">
        <f>P6/Q6</f>
        <v>20.311475409836067</v>
      </c>
      <c r="S6" s="80"/>
      <c r="T6" s="82"/>
      <c r="U6" s="80"/>
      <c r="V6" s="79"/>
      <c r="W6" s="79"/>
      <c r="X6" s="79"/>
      <c r="Y6" s="80">
        <f>H6+J6</f>
        <v>31594.5</v>
      </c>
      <c r="Z6" s="10"/>
    </row>
    <row r="7" spans="2:29" s="39" customFormat="1" ht="16.149999999999999" customHeight="1" thickBot="1" x14ac:dyDescent="0.3">
      <c r="B7" s="68" t="s">
        <v>56</v>
      </c>
      <c r="C7" s="69" t="s">
        <v>58</v>
      </c>
      <c r="D7" s="69"/>
      <c r="E7" s="69"/>
      <c r="F7" s="70">
        <v>1353.14</v>
      </c>
      <c r="G7" s="71">
        <v>720</v>
      </c>
      <c r="H7" s="71">
        <f>G7/12*25.5</f>
        <v>1530</v>
      </c>
      <c r="I7" s="72">
        <f>H7/Y7</f>
        <v>4.3488592345325573E-2</v>
      </c>
      <c r="J7" s="71">
        <v>32975.07</v>
      </c>
      <c r="K7" s="71">
        <v>29150.07</v>
      </c>
      <c r="L7" s="71">
        <f>J7/M7</f>
        <v>21.315494505494506</v>
      </c>
      <c r="M7" s="73">
        <v>1547</v>
      </c>
      <c r="N7" s="73">
        <v>7</v>
      </c>
      <c r="O7" s="74">
        <v>738.5</v>
      </c>
      <c r="P7" s="71">
        <f>Y7/O7</f>
        <v>47.639322951929586</v>
      </c>
      <c r="Q7" s="75">
        <v>2</v>
      </c>
      <c r="R7" s="76">
        <f>P7/Q7</f>
        <v>23.819661475964793</v>
      </c>
      <c r="S7" s="71" t="s">
        <v>91</v>
      </c>
      <c r="T7" s="77">
        <v>2880</v>
      </c>
      <c r="U7" s="71">
        <f>Y7/T7</f>
        <v>12.215847222222221</v>
      </c>
      <c r="V7" s="71">
        <v>11198.07</v>
      </c>
      <c r="W7" s="72">
        <f>V7/Y7</f>
        <v>0.31829300737543786</v>
      </c>
      <c r="X7" s="71">
        <v>16237.68</v>
      </c>
      <c r="Y7" s="71">
        <f>F7*26</f>
        <v>35181.64</v>
      </c>
      <c r="Z7" s="40"/>
    </row>
    <row r="8" spans="2:29" s="39" customFormat="1" ht="15.75" hidden="1" thickBot="1" x14ac:dyDescent="0.3">
      <c r="B8" s="85" t="s">
        <v>84</v>
      </c>
      <c r="C8" s="86"/>
      <c r="D8" s="86"/>
      <c r="E8" s="86"/>
      <c r="F8" s="86"/>
      <c r="G8" s="87"/>
      <c r="H8" s="87"/>
      <c r="I8" s="88"/>
      <c r="J8" s="87"/>
      <c r="K8" s="87"/>
      <c r="L8" s="87"/>
      <c r="M8" s="89"/>
      <c r="N8" s="89"/>
      <c r="O8" s="90"/>
      <c r="P8" s="87"/>
      <c r="Q8" s="91"/>
      <c r="R8" s="92"/>
      <c r="S8" s="87"/>
      <c r="T8" s="93"/>
      <c r="U8" s="87"/>
      <c r="V8" s="87"/>
      <c r="W8" s="88"/>
      <c r="X8" s="87"/>
      <c r="Y8" s="87"/>
      <c r="Z8" s="63">
        <f>SUM(Y5,Y7)</f>
        <v>60973.64</v>
      </c>
    </row>
    <row r="9" spans="2:29" s="39" customFormat="1" ht="15.75" thickBot="1" x14ac:dyDescent="0.3">
      <c r="B9" s="68" t="s">
        <v>93</v>
      </c>
      <c r="C9" s="69"/>
      <c r="D9" s="69">
        <v>409</v>
      </c>
      <c r="E9" s="70">
        <v>25</v>
      </c>
      <c r="F9" s="69"/>
      <c r="G9" s="71"/>
      <c r="H9" s="71"/>
      <c r="I9" s="72"/>
      <c r="J9" s="71"/>
      <c r="K9" s="71"/>
      <c r="L9" s="71"/>
      <c r="M9" s="73"/>
      <c r="N9" s="73"/>
      <c r="O9" s="74"/>
      <c r="P9" s="71"/>
      <c r="Q9" s="75"/>
      <c r="R9" s="76"/>
      <c r="S9" s="71"/>
      <c r="T9" s="77"/>
      <c r="U9" s="71"/>
      <c r="V9" s="71"/>
      <c r="W9" s="72"/>
      <c r="X9" s="71"/>
      <c r="Y9" s="71">
        <f>E9*D9</f>
        <v>10225</v>
      </c>
      <c r="Z9" s="63"/>
    </row>
    <row r="10" spans="2:29" ht="16.149999999999999" customHeight="1" thickBot="1" x14ac:dyDescent="0.3">
      <c r="B10" s="68" t="s">
        <v>20</v>
      </c>
      <c r="C10" s="69" t="s">
        <v>21</v>
      </c>
      <c r="D10" s="69"/>
      <c r="E10" s="69"/>
      <c r="F10" s="70">
        <v>921.7</v>
      </c>
      <c r="G10" s="71">
        <v>2399.64</v>
      </c>
      <c r="H10" s="71">
        <f>G10/12*37</f>
        <v>7398.89</v>
      </c>
      <c r="I10" s="72">
        <f>H10/Y10</f>
        <v>0.25894962674160998</v>
      </c>
      <c r="J10" s="71">
        <v>23002.9</v>
      </c>
      <c r="K10" s="71">
        <f>Y10-V10-H10</f>
        <v>5608.7300000000005</v>
      </c>
      <c r="L10" s="71">
        <f>J10/M10</f>
        <v>19.129230769230769</v>
      </c>
      <c r="M10" s="73">
        <v>1202.5</v>
      </c>
      <c r="N10" s="73">
        <v>3</v>
      </c>
      <c r="O10" s="74">
        <v>481</v>
      </c>
      <c r="P10" s="71">
        <f>Y10/O10</f>
        <v>59.402702702702705</v>
      </c>
      <c r="Q10" s="75">
        <v>2.5</v>
      </c>
      <c r="R10" s="76">
        <f>P10/Q10</f>
        <v>23.76108108108108</v>
      </c>
      <c r="S10" s="71" t="s">
        <v>67</v>
      </c>
      <c r="T10" s="77">
        <v>1200</v>
      </c>
      <c r="U10" s="71">
        <f>X10/T10</f>
        <v>9.2170000000000005</v>
      </c>
      <c r="V10" s="71">
        <v>15565.08</v>
      </c>
      <c r="W10" s="72">
        <f t="shared" ref="W10:W13" si="0">V10/Y10</f>
        <v>0.54475355846664819</v>
      </c>
      <c r="X10" s="71">
        <v>11060.4</v>
      </c>
      <c r="Y10" s="71">
        <v>28572.7</v>
      </c>
      <c r="Z10" s="10"/>
    </row>
    <row r="11" spans="2:29" ht="15.75" hidden="1" thickBot="1" x14ac:dyDescent="0.3">
      <c r="B11" s="69"/>
      <c r="C11" s="69"/>
      <c r="D11" s="69"/>
      <c r="E11" s="69"/>
      <c r="F11" s="69"/>
      <c r="G11" s="71"/>
      <c r="H11" s="71"/>
      <c r="I11" s="69"/>
      <c r="J11" s="69"/>
      <c r="K11" s="69"/>
      <c r="L11" s="69"/>
      <c r="M11" s="77"/>
      <c r="N11" s="77"/>
      <c r="O11" s="77"/>
      <c r="P11" s="71"/>
      <c r="Q11" s="75"/>
      <c r="R11" s="71"/>
      <c r="S11" s="71"/>
      <c r="T11" s="77"/>
      <c r="U11" s="71"/>
      <c r="V11" s="69"/>
      <c r="W11" s="72" t="e">
        <f t="shared" si="0"/>
        <v>#DIV/0!</v>
      </c>
      <c r="X11" s="71"/>
      <c r="Y11" s="71"/>
      <c r="Z11" s="10"/>
    </row>
    <row r="12" spans="2:29" ht="0.6" customHeight="1" thickBot="1" x14ac:dyDescent="0.3">
      <c r="B12" s="69"/>
      <c r="C12" s="69"/>
      <c r="D12" s="69"/>
      <c r="E12" s="69"/>
      <c r="F12" s="69"/>
      <c r="G12" s="71"/>
      <c r="H12" s="71"/>
      <c r="I12" s="69"/>
      <c r="J12" s="69"/>
      <c r="K12" s="69"/>
      <c r="L12" s="69"/>
      <c r="M12" s="77"/>
      <c r="N12" s="77"/>
      <c r="O12" s="77"/>
      <c r="P12" s="71"/>
      <c r="Q12" s="75"/>
      <c r="R12" s="71"/>
      <c r="S12" s="71"/>
      <c r="T12" s="77"/>
      <c r="U12" s="71"/>
      <c r="V12" s="69"/>
      <c r="W12" s="72" t="e">
        <f t="shared" si="0"/>
        <v>#DIV/0!</v>
      </c>
      <c r="X12" s="71"/>
      <c r="Y12" s="71"/>
      <c r="Z12" s="10"/>
    </row>
    <row r="13" spans="2:29" ht="31.9" customHeight="1" thickBot="1" x14ac:dyDescent="0.3">
      <c r="B13" s="94" t="s">
        <v>52</v>
      </c>
      <c r="C13" s="95" t="s">
        <v>15</v>
      </c>
      <c r="D13" s="95"/>
      <c r="E13" s="95"/>
      <c r="F13" s="96">
        <v>800</v>
      </c>
      <c r="G13" s="97">
        <v>3607</v>
      </c>
      <c r="H13" s="97">
        <v>16832.669999999998</v>
      </c>
      <c r="I13" s="72">
        <f>H13/Y13</f>
        <v>0.37572924107142852</v>
      </c>
      <c r="J13" s="71">
        <v>27967.33</v>
      </c>
      <c r="K13" s="71">
        <f>Y13-V13-H13</f>
        <v>5375.5600000000013</v>
      </c>
      <c r="L13" s="71">
        <f>J13/M13</f>
        <v>23.018378600823048</v>
      </c>
      <c r="M13" s="77">
        <v>1215</v>
      </c>
      <c r="N13" s="75">
        <v>5</v>
      </c>
      <c r="O13" s="77">
        <v>1215</v>
      </c>
      <c r="P13" s="71">
        <f>Y13/O13</f>
        <v>36.872427983539097</v>
      </c>
      <c r="Q13" s="75">
        <v>1</v>
      </c>
      <c r="R13" s="76">
        <f>P13/Q13</f>
        <v>36.872427983539097</v>
      </c>
      <c r="S13" s="71" t="s">
        <v>66</v>
      </c>
      <c r="T13" s="93">
        <v>6000</v>
      </c>
      <c r="U13" s="71">
        <f>X13/T13</f>
        <v>1.6</v>
      </c>
      <c r="V13" s="71">
        <v>22591.77</v>
      </c>
      <c r="W13" s="72">
        <f t="shared" si="0"/>
        <v>0.50428058035714285</v>
      </c>
      <c r="X13" s="98">
        <v>9600</v>
      </c>
      <c r="Y13" s="99">
        <v>44800</v>
      </c>
      <c r="Z13" s="10" t="s">
        <v>85</v>
      </c>
      <c r="AA13" s="64">
        <v>981900</v>
      </c>
      <c r="AC13" s="66">
        <f>AA13*1.15</f>
        <v>1129185</v>
      </c>
    </row>
    <row r="14" spans="2:29" ht="15.75" hidden="1" thickBot="1" x14ac:dyDescent="0.3">
      <c r="B14" s="94"/>
      <c r="C14" s="95"/>
      <c r="D14" s="95"/>
      <c r="E14" s="95"/>
      <c r="F14" s="95"/>
      <c r="G14" s="97"/>
      <c r="H14" s="97"/>
      <c r="I14" s="95"/>
      <c r="J14" s="95"/>
      <c r="K14" s="95"/>
      <c r="L14" s="95"/>
      <c r="M14" s="100"/>
      <c r="N14" s="101"/>
      <c r="O14" s="100"/>
      <c r="P14" s="97"/>
      <c r="Q14" s="101"/>
      <c r="R14" s="97"/>
      <c r="S14" s="97"/>
      <c r="T14" s="100"/>
      <c r="U14" s="97"/>
      <c r="V14" s="95"/>
      <c r="W14" s="95"/>
      <c r="X14" s="98"/>
      <c r="Y14" s="99"/>
      <c r="Z14" s="10"/>
    </row>
    <row r="15" spans="2:29" ht="15.75" hidden="1" thickBot="1" x14ac:dyDescent="0.3">
      <c r="B15" s="94"/>
      <c r="C15" s="95"/>
      <c r="D15" s="95"/>
      <c r="E15" s="95"/>
      <c r="F15" s="95"/>
      <c r="G15" s="97"/>
      <c r="H15" s="97"/>
      <c r="I15" s="95"/>
      <c r="J15" s="95"/>
      <c r="K15" s="95"/>
      <c r="L15" s="95"/>
      <c r="M15" s="100"/>
      <c r="N15" s="101"/>
      <c r="O15" s="100"/>
      <c r="P15" s="97"/>
      <c r="Q15" s="101"/>
      <c r="R15" s="97"/>
      <c r="S15" s="97"/>
      <c r="T15" s="100"/>
      <c r="U15" s="97"/>
      <c r="V15" s="95"/>
      <c r="W15" s="95"/>
      <c r="X15" s="98"/>
      <c r="Y15" s="99"/>
      <c r="Z15" s="10"/>
    </row>
    <row r="16" spans="2:29" ht="15.75" customHeight="1" thickBot="1" x14ac:dyDescent="0.3">
      <c r="B16" s="94" t="s">
        <v>2</v>
      </c>
      <c r="C16" s="95" t="s">
        <v>3</v>
      </c>
      <c r="D16" s="95"/>
      <c r="E16" s="95"/>
      <c r="F16" s="97">
        <f>X16/12</f>
        <v>2050</v>
      </c>
      <c r="G16" s="97"/>
      <c r="H16" s="97"/>
      <c r="I16" s="95"/>
      <c r="J16" s="95"/>
      <c r="K16" s="95"/>
      <c r="L16" s="95"/>
      <c r="M16" s="100"/>
      <c r="N16" s="101">
        <v>15</v>
      </c>
      <c r="O16" s="100">
        <v>3900</v>
      </c>
      <c r="P16" s="97"/>
      <c r="Q16" s="101">
        <v>0.8</v>
      </c>
      <c r="R16" s="97"/>
      <c r="S16" s="97"/>
      <c r="T16" s="100">
        <v>200</v>
      </c>
      <c r="U16" s="97">
        <f>X16/T16/3</f>
        <v>41</v>
      </c>
      <c r="V16" s="95"/>
      <c r="W16" s="95"/>
      <c r="X16" s="98">
        <v>24600</v>
      </c>
      <c r="Y16" s="99">
        <v>123000</v>
      </c>
      <c r="Z16" s="10" t="s">
        <v>86</v>
      </c>
      <c r="AA16" s="64">
        <v>44800</v>
      </c>
      <c r="AC16" s="66">
        <f>AC13*0.0025</f>
        <v>2822.9625000000001</v>
      </c>
    </row>
    <row r="17" spans="2:29" ht="15.75" thickBot="1" x14ac:dyDescent="0.3">
      <c r="B17" s="102" t="s">
        <v>4</v>
      </c>
      <c r="C17" s="103" t="s">
        <v>5</v>
      </c>
      <c r="D17" s="103"/>
      <c r="E17" s="103"/>
      <c r="F17" s="97">
        <f t="shared" ref="F17:F27" si="1">X17/12</f>
        <v>1365</v>
      </c>
      <c r="G17" s="104"/>
      <c r="H17" s="104"/>
      <c r="I17" s="103"/>
      <c r="J17" s="103"/>
      <c r="K17" s="103"/>
      <c r="L17" s="103"/>
      <c r="M17" s="105"/>
      <c r="N17" s="106">
        <v>10</v>
      </c>
      <c r="O17" s="105">
        <v>2600</v>
      </c>
      <c r="P17" s="104"/>
      <c r="Q17" s="106">
        <v>0.8</v>
      </c>
      <c r="R17" s="104"/>
      <c r="S17" s="104"/>
      <c r="T17" s="105">
        <v>200</v>
      </c>
      <c r="U17" s="104">
        <f>X17/T17/2</f>
        <v>40.950000000000003</v>
      </c>
      <c r="V17" s="103"/>
      <c r="W17" s="103"/>
      <c r="X17" s="107">
        <v>16380</v>
      </c>
      <c r="Y17" s="108">
        <v>81900</v>
      </c>
      <c r="Z17" s="10" t="s">
        <v>87</v>
      </c>
      <c r="AA17" s="66">
        <v>34102.9</v>
      </c>
      <c r="AC17" s="66">
        <f>AC13+AC16</f>
        <v>1132007.9624999999</v>
      </c>
    </row>
    <row r="18" spans="2:29" ht="15.75" thickBot="1" x14ac:dyDescent="0.3">
      <c r="B18" s="94" t="s">
        <v>6</v>
      </c>
      <c r="C18" s="103" t="s">
        <v>7</v>
      </c>
      <c r="D18" s="103"/>
      <c r="E18" s="103"/>
      <c r="F18" s="97">
        <f t="shared" si="1"/>
        <v>675</v>
      </c>
      <c r="G18" s="104"/>
      <c r="H18" s="104"/>
      <c r="I18" s="103"/>
      <c r="J18" s="103"/>
      <c r="K18" s="103"/>
      <c r="L18" s="103"/>
      <c r="M18" s="105"/>
      <c r="N18" s="106">
        <v>5</v>
      </c>
      <c r="O18" s="105">
        <v>1300</v>
      </c>
      <c r="P18" s="104"/>
      <c r="Q18" s="106">
        <v>1.2</v>
      </c>
      <c r="R18" s="104"/>
      <c r="S18" s="104"/>
      <c r="T18" s="105">
        <v>300</v>
      </c>
      <c r="U18" s="104">
        <f>X18/T18/1</f>
        <v>27</v>
      </c>
      <c r="V18" s="103"/>
      <c r="W18" s="103"/>
      <c r="X18" s="107">
        <v>8100</v>
      </c>
      <c r="Y18" s="108">
        <v>40500</v>
      </c>
      <c r="Z18" s="65" t="s">
        <v>88</v>
      </c>
      <c r="AA18" s="66">
        <v>60972.17</v>
      </c>
    </row>
    <row r="19" spans="2:29" ht="15.75" thickBot="1" x14ac:dyDescent="0.3">
      <c r="B19" s="102" t="s">
        <v>8</v>
      </c>
      <c r="C19" s="103" t="s">
        <v>5</v>
      </c>
      <c r="D19" s="103"/>
      <c r="E19" s="103"/>
      <c r="F19" s="97">
        <f t="shared" si="1"/>
        <v>1365</v>
      </c>
      <c r="G19" s="104"/>
      <c r="H19" s="104"/>
      <c r="I19" s="103"/>
      <c r="J19" s="103"/>
      <c r="K19" s="103"/>
      <c r="L19" s="103"/>
      <c r="M19" s="105"/>
      <c r="N19" s="106">
        <v>10</v>
      </c>
      <c r="O19" s="105">
        <v>2600</v>
      </c>
      <c r="P19" s="104"/>
      <c r="Q19" s="106">
        <v>0.6</v>
      </c>
      <c r="R19" s="104"/>
      <c r="S19" s="104"/>
      <c r="T19" s="105">
        <v>150</v>
      </c>
      <c r="U19" s="104">
        <f>X19/T19/2</f>
        <v>54.6</v>
      </c>
      <c r="V19" s="103"/>
      <c r="W19" s="103"/>
      <c r="X19" s="107">
        <v>16380</v>
      </c>
      <c r="Y19" s="108">
        <v>81900</v>
      </c>
      <c r="Z19" s="65" t="s">
        <v>89</v>
      </c>
      <c r="AA19" s="66">
        <f>AC17-AB20</f>
        <v>10232.892500000075</v>
      </c>
      <c r="AB19" s="67">
        <f>AA19/25</f>
        <v>409.31570000000301</v>
      </c>
      <c r="AC19" t="s">
        <v>90</v>
      </c>
    </row>
    <row r="20" spans="2:29" ht="15.75" thickBot="1" x14ac:dyDescent="0.3">
      <c r="B20" s="102" t="s">
        <v>9</v>
      </c>
      <c r="C20" s="103" t="s">
        <v>5</v>
      </c>
      <c r="D20" s="103"/>
      <c r="E20" s="103"/>
      <c r="F20" s="97">
        <f t="shared" si="1"/>
        <v>1365</v>
      </c>
      <c r="G20" s="104"/>
      <c r="H20" s="104"/>
      <c r="I20" s="103"/>
      <c r="J20" s="103"/>
      <c r="K20" s="103"/>
      <c r="L20" s="103"/>
      <c r="M20" s="105"/>
      <c r="N20" s="106">
        <v>10</v>
      </c>
      <c r="O20" s="105">
        <v>2600</v>
      </c>
      <c r="P20" s="104"/>
      <c r="Q20" s="106">
        <v>1.35</v>
      </c>
      <c r="R20" s="104"/>
      <c r="S20" s="104"/>
      <c r="T20" s="105">
        <v>350</v>
      </c>
      <c r="U20" s="104">
        <f>X20/T20/2</f>
        <v>23.4</v>
      </c>
      <c r="V20" s="103"/>
      <c r="W20" s="103"/>
      <c r="X20" s="107">
        <v>16380</v>
      </c>
      <c r="Y20" s="108">
        <v>81900</v>
      </c>
      <c r="Z20" s="10"/>
      <c r="AA20" s="64">
        <f>SUM(AA13:AA19)</f>
        <v>1132007.9624999999</v>
      </c>
      <c r="AB20" s="64">
        <f>SUM(AA13:AA18)</f>
        <v>1121775.0699999998</v>
      </c>
    </row>
    <row r="21" spans="2:29" ht="15.75" thickBot="1" x14ac:dyDescent="0.3">
      <c r="B21" s="102" t="s">
        <v>10</v>
      </c>
      <c r="C21" s="103" t="s">
        <v>5</v>
      </c>
      <c r="D21" s="103"/>
      <c r="E21" s="103"/>
      <c r="F21" s="97">
        <f t="shared" si="1"/>
        <v>1365</v>
      </c>
      <c r="G21" s="104"/>
      <c r="H21" s="104"/>
      <c r="I21" s="103"/>
      <c r="J21" s="103"/>
      <c r="K21" s="103"/>
      <c r="L21" s="103"/>
      <c r="M21" s="105"/>
      <c r="N21" s="106">
        <v>10</v>
      </c>
      <c r="O21" s="105">
        <v>2600</v>
      </c>
      <c r="P21" s="104"/>
      <c r="Q21" s="106">
        <v>0.8</v>
      </c>
      <c r="R21" s="104"/>
      <c r="S21" s="104"/>
      <c r="T21" s="105">
        <v>200</v>
      </c>
      <c r="U21" s="104">
        <f>X21/T21/2</f>
        <v>40.950000000000003</v>
      </c>
      <c r="V21" s="103"/>
      <c r="W21" s="103"/>
      <c r="X21" s="107">
        <v>16380</v>
      </c>
      <c r="Y21" s="108">
        <v>81900</v>
      </c>
      <c r="Z21" s="10"/>
      <c r="AA21" s="66"/>
    </row>
    <row r="22" spans="2:29" ht="15.75" thickBot="1" x14ac:dyDescent="0.3">
      <c r="B22" s="102" t="s">
        <v>11</v>
      </c>
      <c r="C22" s="103" t="s">
        <v>3</v>
      </c>
      <c r="D22" s="103"/>
      <c r="E22" s="103"/>
      <c r="F22" s="97">
        <f t="shared" si="1"/>
        <v>2050</v>
      </c>
      <c r="G22" s="104"/>
      <c r="H22" s="104"/>
      <c r="I22" s="103"/>
      <c r="J22" s="103"/>
      <c r="K22" s="103"/>
      <c r="L22" s="103"/>
      <c r="M22" s="105"/>
      <c r="N22" s="106">
        <v>15</v>
      </c>
      <c r="O22" s="105">
        <v>3900</v>
      </c>
      <c r="P22" s="104"/>
      <c r="Q22" s="106">
        <v>1.35</v>
      </c>
      <c r="R22" s="104"/>
      <c r="S22" s="104"/>
      <c r="T22" s="105">
        <v>350</v>
      </c>
      <c r="U22" s="104">
        <f>X22/T22/3</f>
        <v>23.428571428571431</v>
      </c>
      <c r="V22" s="103"/>
      <c r="W22" s="103"/>
      <c r="X22" s="107">
        <v>24600</v>
      </c>
      <c r="Y22" s="108">
        <v>123000</v>
      </c>
      <c r="Z22" s="10"/>
    </row>
    <row r="23" spans="2:29" ht="15.75" thickBot="1" x14ac:dyDescent="0.3">
      <c r="B23" s="102" t="s">
        <v>12</v>
      </c>
      <c r="C23" s="103" t="s">
        <v>3</v>
      </c>
      <c r="D23" s="103"/>
      <c r="E23" s="103"/>
      <c r="F23" s="97">
        <f t="shared" si="1"/>
        <v>2050</v>
      </c>
      <c r="G23" s="104"/>
      <c r="H23" s="104"/>
      <c r="I23" s="103"/>
      <c r="J23" s="103"/>
      <c r="K23" s="103"/>
      <c r="L23" s="103"/>
      <c r="M23" s="105"/>
      <c r="N23" s="106">
        <v>15</v>
      </c>
      <c r="O23" s="105">
        <v>3900</v>
      </c>
      <c r="P23" s="104"/>
      <c r="Q23" s="106">
        <v>1.35</v>
      </c>
      <c r="R23" s="104"/>
      <c r="S23" s="104"/>
      <c r="T23" s="105">
        <v>350</v>
      </c>
      <c r="U23" s="104">
        <f>X23/T23/3</f>
        <v>23.428571428571431</v>
      </c>
      <c r="V23" s="103"/>
      <c r="W23" s="103"/>
      <c r="X23" s="107">
        <v>24600</v>
      </c>
      <c r="Y23" s="108">
        <v>123000</v>
      </c>
      <c r="Z23" s="10"/>
    </row>
    <row r="24" spans="2:29" ht="15.75" thickBot="1" x14ac:dyDescent="0.3">
      <c r="B24" s="102" t="s">
        <v>13</v>
      </c>
      <c r="C24" s="103" t="s">
        <v>5</v>
      </c>
      <c r="D24" s="103"/>
      <c r="E24" s="103"/>
      <c r="F24" s="97">
        <f t="shared" si="1"/>
        <v>1365</v>
      </c>
      <c r="G24" s="104"/>
      <c r="H24" s="104"/>
      <c r="I24" s="103"/>
      <c r="J24" s="103"/>
      <c r="K24" s="103"/>
      <c r="L24" s="103"/>
      <c r="M24" s="105"/>
      <c r="N24" s="106">
        <v>10</v>
      </c>
      <c r="O24" s="105">
        <v>2600</v>
      </c>
      <c r="P24" s="104"/>
      <c r="Q24" s="106">
        <v>1.35</v>
      </c>
      <c r="R24" s="104"/>
      <c r="S24" s="104"/>
      <c r="T24" s="105">
        <v>350</v>
      </c>
      <c r="U24" s="104">
        <f>X24/T24/2</f>
        <v>23.4</v>
      </c>
      <c r="V24" s="103"/>
      <c r="W24" s="103"/>
      <c r="X24" s="107">
        <v>16380</v>
      </c>
      <c r="Y24" s="108">
        <v>81900</v>
      </c>
      <c r="Z24" s="10"/>
      <c r="AA24">
        <v>1129171.54</v>
      </c>
    </row>
    <row r="25" spans="2:29" ht="15.75" thickBot="1" x14ac:dyDescent="0.3">
      <c r="B25" s="102" t="s">
        <v>14</v>
      </c>
      <c r="C25" s="103" t="s">
        <v>5</v>
      </c>
      <c r="D25" s="103"/>
      <c r="E25" s="103"/>
      <c r="F25" s="97">
        <f t="shared" si="1"/>
        <v>1365</v>
      </c>
      <c r="G25" s="104"/>
      <c r="H25" s="104"/>
      <c r="I25" s="103"/>
      <c r="J25" s="103"/>
      <c r="K25" s="103"/>
      <c r="L25" s="103"/>
      <c r="M25" s="105"/>
      <c r="N25" s="106">
        <v>10</v>
      </c>
      <c r="O25" s="105">
        <v>2600</v>
      </c>
      <c r="P25" s="104"/>
      <c r="Q25" s="106">
        <v>0.4</v>
      </c>
      <c r="R25" s="104"/>
      <c r="S25" s="104"/>
      <c r="T25" s="105">
        <v>50</v>
      </c>
      <c r="U25" s="104">
        <f>X25/T25/2</f>
        <v>163.80000000000001</v>
      </c>
      <c r="V25" s="103"/>
      <c r="W25" s="103"/>
      <c r="X25" s="107">
        <v>16380</v>
      </c>
      <c r="Y25" s="108">
        <v>81900</v>
      </c>
      <c r="Z25" s="10"/>
      <c r="AA25">
        <v>1058150.8</v>
      </c>
    </row>
    <row r="26" spans="2:29" ht="15.75" thickBot="1" x14ac:dyDescent="0.3">
      <c r="B26" s="102" t="s">
        <v>16</v>
      </c>
      <c r="C26" s="103" t="s">
        <v>7</v>
      </c>
      <c r="D26" s="103"/>
      <c r="E26" s="103"/>
      <c r="F26" s="97">
        <f t="shared" si="1"/>
        <v>675</v>
      </c>
      <c r="G26" s="104"/>
      <c r="H26" s="104"/>
      <c r="I26" s="103"/>
      <c r="J26" s="103"/>
      <c r="K26" s="103"/>
      <c r="L26" s="103"/>
      <c r="M26" s="105"/>
      <c r="N26" s="106">
        <v>5</v>
      </c>
      <c r="O26" s="105">
        <v>1300</v>
      </c>
      <c r="P26" s="104"/>
      <c r="Q26" s="106">
        <v>1.35</v>
      </c>
      <c r="R26" s="104"/>
      <c r="S26" s="104"/>
      <c r="T26" s="105">
        <v>350</v>
      </c>
      <c r="U26" s="104">
        <f>X26/T26</f>
        <v>23.142857142857142</v>
      </c>
      <c r="V26" s="103"/>
      <c r="W26" s="103"/>
      <c r="X26" s="107">
        <v>8100</v>
      </c>
      <c r="Y26" s="108">
        <f>X26*5</f>
        <v>40500</v>
      </c>
      <c r="Z26" s="10"/>
      <c r="AA26">
        <f>AA24-AA25</f>
        <v>71020.739999999991</v>
      </c>
    </row>
    <row r="27" spans="2:29" ht="15.75" thickBot="1" x14ac:dyDescent="0.3">
      <c r="B27" s="94" t="s">
        <v>17</v>
      </c>
      <c r="C27" s="95" t="s">
        <v>7</v>
      </c>
      <c r="D27" s="95"/>
      <c r="E27" s="95"/>
      <c r="F27" s="97">
        <f t="shared" si="1"/>
        <v>675</v>
      </c>
      <c r="G27" s="97"/>
      <c r="H27" s="97"/>
      <c r="I27" s="95"/>
      <c r="J27" s="95"/>
      <c r="K27" s="95"/>
      <c r="L27" s="95"/>
      <c r="M27" s="100"/>
      <c r="N27" s="101">
        <v>5</v>
      </c>
      <c r="O27" s="100">
        <v>1300</v>
      </c>
      <c r="P27" s="97"/>
      <c r="Q27" s="101">
        <v>0.6</v>
      </c>
      <c r="R27" s="97"/>
      <c r="S27" s="97"/>
      <c r="T27" s="100">
        <v>150</v>
      </c>
      <c r="U27" s="97">
        <f>X27/T27</f>
        <v>54</v>
      </c>
      <c r="V27" s="95"/>
      <c r="W27" s="95"/>
      <c r="X27" s="98">
        <v>8100</v>
      </c>
      <c r="Y27" s="99">
        <f>X27*5</f>
        <v>40500</v>
      </c>
      <c r="Z27" s="10"/>
    </row>
    <row r="28" spans="2:29" ht="15.75" thickBot="1" x14ac:dyDescent="0.3">
      <c r="B28" s="94"/>
      <c r="C28" s="121"/>
      <c r="D28" s="121"/>
      <c r="E28" s="121"/>
      <c r="F28" s="95"/>
      <c r="G28" s="97"/>
      <c r="H28" s="97"/>
      <c r="I28" s="95"/>
      <c r="J28" s="95"/>
      <c r="K28" s="95"/>
      <c r="L28" s="95"/>
      <c r="M28" s="100"/>
      <c r="N28" s="100"/>
      <c r="O28" s="100"/>
      <c r="P28" s="97"/>
      <c r="Q28" s="101"/>
      <c r="R28" s="97"/>
      <c r="S28" s="97"/>
      <c r="T28" s="100"/>
      <c r="U28" s="97"/>
      <c r="V28" s="95"/>
      <c r="W28" s="95"/>
      <c r="X28" s="98"/>
      <c r="Y28" s="99"/>
      <c r="Z28" s="10"/>
    </row>
    <row r="29" spans="2:29" ht="15.75" hidden="1" thickBot="1" x14ac:dyDescent="0.3">
      <c r="B29" s="109" t="s">
        <v>40</v>
      </c>
      <c r="C29" s="122" t="s">
        <v>64</v>
      </c>
      <c r="D29" s="122"/>
      <c r="E29" s="122"/>
      <c r="F29" s="110"/>
      <c r="G29" s="111">
        <v>43547.5</v>
      </c>
      <c r="H29" s="112">
        <f>G29*5</f>
        <v>217737.5</v>
      </c>
      <c r="I29" s="113">
        <f>H29/Y29</f>
        <v>0.22175119665953763</v>
      </c>
      <c r="J29" s="114">
        <f>Y29-H29</f>
        <v>764162.5</v>
      </c>
      <c r="K29" s="114">
        <f>Y29-V29-H29</f>
        <v>764162.5</v>
      </c>
      <c r="L29" s="114">
        <v>20.05</v>
      </c>
      <c r="M29" s="115">
        <f>K29/L29</f>
        <v>38112.84289276808</v>
      </c>
      <c r="N29" s="115"/>
      <c r="O29" s="115">
        <f>SUM(O16:O28)</f>
        <v>31200</v>
      </c>
      <c r="P29" s="114">
        <f>Y29/O29</f>
        <v>31.471153846153847</v>
      </c>
      <c r="Q29" s="116">
        <f>AVERAGE(Q16:Q27)</f>
        <v>0.99583333333333324</v>
      </c>
      <c r="R29" s="117">
        <f>Y29/O29/Q29</f>
        <v>31.60283231412939</v>
      </c>
      <c r="S29" s="114"/>
      <c r="T29" s="115">
        <f>SUM(T16:T27)</f>
        <v>3000</v>
      </c>
      <c r="U29" s="114">
        <f>Y29/T29</f>
        <v>327.3</v>
      </c>
      <c r="V29" s="114"/>
      <c r="W29" s="118"/>
      <c r="X29" s="119">
        <f>SUM(X16:X28)</f>
        <v>196380</v>
      </c>
      <c r="Y29" s="120">
        <f>SUM(Y16:Y27)</f>
        <v>981900</v>
      </c>
      <c r="Z29" s="10"/>
    </row>
    <row r="30" spans="2:29" ht="15.75" thickBot="1" x14ac:dyDescent="0.3">
      <c r="B30" s="123"/>
      <c r="C30" s="124" t="s">
        <v>99</v>
      </c>
      <c r="D30" s="125"/>
      <c r="E30" s="125"/>
      <c r="F30" s="125"/>
      <c r="G30" s="126"/>
      <c r="H30" s="126"/>
      <c r="I30" s="127"/>
      <c r="J30" s="126"/>
      <c r="K30" s="126"/>
      <c r="L30" s="126"/>
      <c r="M30" s="128"/>
      <c r="N30" s="128"/>
      <c r="O30" s="128"/>
      <c r="P30" s="126"/>
      <c r="Q30" s="129"/>
      <c r="R30" s="130"/>
      <c r="S30" s="126"/>
      <c r="T30" s="128"/>
      <c r="U30" s="126"/>
      <c r="V30" s="126"/>
      <c r="W30" s="127"/>
      <c r="X30" s="131"/>
      <c r="Y30" s="130">
        <f>SUM(Y5,Y7,Y9,Y10,Y13,Y16,Y17,Y18,Y19,Y20,Y21,Y22,Y23,Y24,Y25,Y26,Y27)</f>
        <v>1126471.3399999999</v>
      </c>
      <c r="Z30" s="10"/>
    </row>
    <row r="31" spans="2:29" ht="30" thickTop="1" thickBot="1" x14ac:dyDescent="0.3">
      <c r="B31" s="132" t="s">
        <v>65</v>
      </c>
      <c r="C31" s="133" t="s">
        <v>100</v>
      </c>
      <c r="D31" s="133"/>
      <c r="E31" s="133"/>
      <c r="F31" s="133"/>
      <c r="G31" s="134">
        <f>SUM(G29,G13,G10)</f>
        <v>49554.14</v>
      </c>
      <c r="H31" s="134">
        <f>SUM(H10,H13,H29)</f>
        <v>241969.06</v>
      </c>
      <c r="I31" s="135">
        <f>H31/X31</f>
        <v>85.921071014554187</v>
      </c>
      <c r="J31" s="136">
        <f>SUM(J29,J13,J10)</f>
        <v>815132.73</v>
      </c>
      <c r="K31" s="134">
        <f>SUM(K29,K13,K10)</f>
        <v>775146.79</v>
      </c>
      <c r="L31" s="136">
        <f>J31/M31</f>
        <v>20.111666268321798</v>
      </c>
      <c r="M31" s="137">
        <f>SUM(M29,M13,M10)</f>
        <v>40530.34289276808</v>
      </c>
      <c r="N31" s="137"/>
      <c r="O31" s="134">
        <f>SUM(O29,O13,O10)</f>
        <v>32896</v>
      </c>
      <c r="P31" s="138"/>
      <c r="Q31" s="139">
        <f>SUM(Q27,Q26,Q25,Q24,Q23,Q22,Q21,Q20,Q19,Q18,Q17,Q16,Q13,Q10)</f>
        <v>15.450000000000001</v>
      </c>
      <c r="R31" s="138"/>
      <c r="S31" s="138"/>
      <c r="T31" s="139">
        <f>SUM(T29,T13,T10)</f>
        <v>10200</v>
      </c>
      <c r="U31" s="140">
        <f>SUM(U10,U13,U16,U17,U18,U19,U20,U21,U22,U23,U24,U25,U26,U27)/14</f>
        <v>39.279785714285715</v>
      </c>
      <c r="V31" s="140">
        <f>SUM(V29,V13,V10)</f>
        <v>38156.85</v>
      </c>
      <c r="W31" s="141"/>
      <c r="X31" s="142">
        <f>Y30*0.0025</f>
        <v>2816.1783499999997</v>
      </c>
      <c r="Y31" s="136">
        <f>Y30*0.9975</f>
        <v>1123655.1616499999</v>
      </c>
      <c r="Z31" s="10"/>
    </row>
    <row r="32" spans="2:29" x14ac:dyDescent="0.25">
      <c r="B32" s="41" t="s">
        <v>83</v>
      </c>
      <c r="C32" s="42"/>
      <c r="D32" s="42"/>
      <c r="E32" s="42"/>
      <c r="F32" s="42"/>
      <c r="G32" s="43"/>
      <c r="H32" s="43"/>
      <c r="I32" s="44"/>
      <c r="J32" s="45"/>
      <c r="K32" s="43"/>
      <c r="L32" s="45"/>
      <c r="M32" s="46"/>
      <c r="N32" s="46"/>
      <c r="O32" s="43"/>
      <c r="P32" s="21"/>
      <c r="Q32" s="47"/>
      <c r="R32" s="21"/>
      <c r="S32" s="21"/>
      <c r="T32" s="47"/>
      <c r="U32" s="45"/>
      <c r="V32" s="45"/>
      <c r="W32" s="48"/>
      <c r="X32" s="49"/>
      <c r="Y32" s="50"/>
      <c r="Z32" s="10"/>
    </row>
    <row r="34" spans="2:26" ht="15.75" thickBot="1" x14ac:dyDescent="0.3"/>
    <row r="35" spans="2:26" ht="90" customHeight="1" thickTop="1" thickBot="1" x14ac:dyDescent="0.3">
      <c r="B35" s="9" t="s">
        <v>68</v>
      </c>
      <c r="C35" s="1" t="s">
        <v>72</v>
      </c>
      <c r="D35" s="1"/>
      <c r="E35" s="1"/>
      <c r="F35" s="1"/>
      <c r="G35" s="1" t="s">
        <v>92</v>
      </c>
      <c r="H35" s="24" t="s">
        <v>73</v>
      </c>
      <c r="I35" s="24" t="s">
        <v>74</v>
      </c>
      <c r="J35" s="1" t="s">
        <v>32</v>
      </c>
      <c r="K35" s="1"/>
      <c r="L35" s="1"/>
      <c r="M35" s="1" t="s">
        <v>76</v>
      </c>
      <c r="N35" s="1" t="s">
        <v>77</v>
      </c>
      <c r="O35" s="27" t="s">
        <v>78</v>
      </c>
      <c r="P35" s="1" t="s">
        <v>79</v>
      </c>
      <c r="Q35" s="27" t="s">
        <v>80</v>
      </c>
      <c r="R35" s="1" t="s">
        <v>81</v>
      </c>
      <c r="T35" s="23"/>
      <c r="U35" s="26"/>
      <c r="V35" s="23"/>
    </row>
    <row r="36" spans="2:26" ht="15.75" thickBot="1" x14ac:dyDescent="0.3">
      <c r="B36" s="11" t="s">
        <v>69</v>
      </c>
      <c r="C36" s="12">
        <v>12</v>
      </c>
      <c r="D36" s="12"/>
      <c r="E36" s="12"/>
      <c r="F36" s="12"/>
      <c r="G36" s="12">
        <v>306</v>
      </c>
      <c r="H36" s="15">
        <v>25</v>
      </c>
      <c r="I36" s="15">
        <f>G36*H36</f>
        <v>7650</v>
      </c>
      <c r="J36" s="15"/>
      <c r="K36" s="15"/>
      <c r="L36" s="15"/>
      <c r="M36" s="15">
        <v>25</v>
      </c>
      <c r="N36" s="15">
        <f>G36*M36</f>
        <v>7650</v>
      </c>
      <c r="O36" s="15">
        <v>25</v>
      </c>
      <c r="P36" s="15">
        <f>O36*G36</f>
        <v>7650</v>
      </c>
      <c r="Q36" s="15">
        <v>32</v>
      </c>
      <c r="R36" s="15">
        <f>Q36*G36</f>
        <v>9792</v>
      </c>
      <c r="T36" s="23"/>
      <c r="U36" s="26"/>
      <c r="V36" s="23"/>
    </row>
    <row r="37" spans="2:26" ht="15.75" thickBot="1" x14ac:dyDescent="0.3">
      <c r="B37" s="11" t="s">
        <v>70</v>
      </c>
      <c r="C37" s="12">
        <v>2</v>
      </c>
      <c r="D37" s="12"/>
      <c r="E37" s="12"/>
      <c r="F37" s="12"/>
      <c r="G37" s="12">
        <v>55</v>
      </c>
      <c r="H37" s="15">
        <v>28</v>
      </c>
      <c r="I37" s="15">
        <f t="shared" ref="I37:I38" si="2">G37*H37</f>
        <v>1540</v>
      </c>
      <c r="J37" s="15"/>
      <c r="K37" s="15"/>
      <c r="L37" s="15"/>
      <c r="M37" s="15">
        <v>25</v>
      </c>
      <c r="N37" s="15">
        <f t="shared" ref="N37:N38" si="3">G37*M37</f>
        <v>1375</v>
      </c>
      <c r="O37" s="15">
        <v>25</v>
      </c>
      <c r="P37" s="15">
        <f t="shared" ref="P37:P38" si="4">O37*G37</f>
        <v>1375</v>
      </c>
      <c r="Q37" s="15">
        <v>37</v>
      </c>
      <c r="R37" s="15">
        <f t="shared" ref="R37:R38" si="5">Q37*G37</f>
        <v>2035</v>
      </c>
      <c r="T37" s="23"/>
      <c r="U37" s="26"/>
      <c r="V37" s="23"/>
    </row>
    <row r="38" spans="2:26" ht="15.75" thickBot="1" x14ac:dyDescent="0.3">
      <c r="B38" s="11" t="s">
        <v>71</v>
      </c>
      <c r="C38" s="12">
        <v>7</v>
      </c>
      <c r="D38" s="12"/>
      <c r="E38" s="12"/>
      <c r="F38" s="12"/>
      <c r="G38" s="12">
        <v>48</v>
      </c>
      <c r="H38" s="15">
        <v>28</v>
      </c>
      <c r="I38" s="15">
        <f t="shared" si="2"/>
        <v>1344</v>
      </c>
      <c r="J38" s="15"/>
      <c r="K38" s="15"/>
      <c r="L38" s="15"/>
      <c r="M38" s="15">
        <v>25</v>
      </c>
      <c r="N38" s="15">
        <f t="shared" si="3"/>
        <v>1200</v>
      </c>
      <c r="O38" s="15">
        <v>25</v>
      </c>
      <c r="P38" s="15">
        <f t="shared" si="4"/>
        <v>1200</v>
      </c>
      <c r="Q38" s="15">
        <v>42</v>
      </c>
      <c r="R38" s="15">
        <f t="shared" si="5"/>
        <v>2016</v>
      </c>
      <c r="T38" s="23"/>
      <c r="U38" s="26"/>
      <c r="V38" s="23"/>
    </row>
    <row r="39" spans="2:26" ht="15.75" thickBot="1" x14ac:dyDescent="0.3">
      <c r="B39" s="11"/>
      <c r="C39" s="12"/>
      <c r="D39" s="12"/>
      <c r="E39" s="12"/>
      <c r="F39" s="12"/>
      <c r="G39" s="12"/>
      <c r="H39" s="15"/>
      <c r="I39" s="15"/>
      <c r="J39" s="15"/>
      <c r="K39" s="15"/>
      <c r="L39" s="15"/>
      <c r="M39" s="15"/>
      <c r="N39" s="28"/>
      <c r="O39" s="28"/>
      <c r="P39" s="28"/>
      <c r="Q39" s="28"/>
      <c r="R39" s="28"/>
      <c r="T39" s="23"/>
      <c r="U39" s="26"/>
      <c r="V39" s="23"/>
    </row>
    <row r="40" spans="2:26" ht="15.75" thickBot="1" x14ac:dyDescent="0.3">
      <c r="B40" s="11" t="s">
        <v>75</v>
      </c>
      <c r="C40" s="12"/>
      <c r="D40" s="12"/>
      <c r="E40" s="12"/>
      <c r="F40" s="12"/>
      <c r="G40" s="12"/>
      <c r="H40" s="15"/>
      <c r="I40" s="15">
        <f>SUM(I36:I39)</f>
        <v>10534</v>
      </c>
      <c r="J40" s="15"/>
      <c r="K40" s="15"/>
      <c r="L40" s="15"/>
      <c r="M40" s="15"/>
      <c r="N40" s="15">
        <f>SUM(N36:N39)</f>
        <v>10225</v>
      </c>
      <c r="O40" s="28"/>
      <c r="P40" s="15">
        <f>SUM(P36:P39)</f>
        <v>10225</v>
      </c>
      <c r="Q40" s="28"/>
      <c r="R40" s="15">
        <f>SUM(R36:R39)</f>
        <v>13843</v>
      </c>
      <c r="T40" s="23"/>
      <c r="U40" s="26"/>
      <c r="V40" s="23"/>
    </row>
    <row r="41" spans="2:26" x14ac:dyDescent="0.25">
      <c r="B41" s="41" t="s">
        <v>82</v>
      </c>
    </row>
    <row r="43" spans="2:26" ht="15.75" thickBot="1" x14ac:dyDescent="0.3"/>
    <row r="44" spans="2:26" ht="48.75" thickTop="1" thickBot="1" x14ac:dyDescent="0.3">
      <c r="B44" s="9" t="s">
        <v>22</v>
      </c>
      <c r="C44" s="1" t="s">
        <v>23</v>
      </c>
      <c r="D44" s="1"/>
      <c r="E44" s="1"/>
      <c r="F44" s="1"/>
      <c r="G44" s="24" t="s">
        <v>25</v>
      </c>
      <c r="H44" s="24"/>
      <c r="I44" s="1" t="s">
        <v>32</v>
      </c>
      <c r="J44" s="1"/>
      <c r="K44" s="1"/>
      <c r="L44" s="1"/>
      <c r="M44" s="27"/>
      <c r="N44" s="27"/>
      <c r="O44" s="27"/>
      <c r="P44" s="24"/>
      <c r="Q44" s="33"/>
      <c r="R44" s="24"/>
      <c r="S44" s="24"/>
      <c r="T44" s="27"/>
      <c r="U44" s="24"/>
      <c r="V44" s="1"/>
      <c r="W44" s="1"/>
      <c r="X44" s="1" t="s">
        <v>1</v>
      </c>
      <c r="Y44" s="2" t="s">
        <v>33</v>
      </c>
      <c r="Z44" s="2" t="s">
        <v>37</v>
      </c>
    </row>
    <row r="45" spans="2:26" ht="15.75" thickBot="1" x14ac:dyDescent="0.3">
      <c r="B45" s="11" t="s">
        <v>20</v>
      </c>
      <c r="C45" s="12" t="s">
        <v>24</v>
      </c>
      <c r="D45" s="12"/>
      <c r="E45" s="12"/>
      <c r="F45" s="12"/>
      <c r="G45" s="15">
        <v>17.3</v>
      </c>
      <c r="H45" s="15"/>
      <c r="I45" s="15">
        <v>39</v>
      </c>
      <c r="J45" s="15"/>
      <c r="K45" s="15"/>
      <c r="L45" s="15"/>
      <c r="M45" s="28"/>
      <c r="N45" s="28"/>
      <c r="O45" s="28"/>
      <c r="P45" s="15"/>
      <c r="Q45" s="34"/>
      <c r="R45" s="15"/>
      <c r="S45" s="15"/>
      <c r="T45" s="28"/>
      <c r="U45" s="15"/>
      <c r="V45" s="15"/>
      <c r="W45" s="15"/>
      <c r="X45" s="15">
        <f>G45*I45</f>
        <v>674.7</v>
      </c>
      <c r="Y45" s="16">
        <f>X45*4</f>
        <v>2698.8</v>
      </c>
      <c r="Z45" s="16">
        <f>Y45*4</f>
        <v>10795.2</v>
      </c>
    </row>
    <row r="46" spans="2:26" ht="15.75" thickBot="1" x14ac:dyDescent="0.3">
      <c r="B46" s="11"/>
      <c r="C46" s="12" t="s">
        <v>26</v>
      </c>
      <c r="D46" s="12"/>
      <c r="E46" s="12"/>
      <c r="F46" s="12"/>
      <c r="G46" s="15">
        <v>5.32</v>
      </c>
      <c r="H46" s="15"/>
      <c r="I46" s="15">
        <v>44.5</v>
      </c>
      <c r="J46" s="15"/>
      <c r="K46" s="15"/>
      <c r="L46" s="15"/>
      <c r="M46" s="28"/>
      <c r="N46" s="28"/>
      <c r="O46" s="28"/>
      <c r="P46" s="15"/>
      <c r="Q46" s="34"/>
      <c r="R46" s="15"/>
      <c r="S46" s="15"/>
      <c r="T46" s="28"/>
      <c r="U46" s="15"/>
      <c r="V46" s="15"/>
      <c r="W46" s="15"/>
      <c r="X46" s="15">
        <f t="shared" ref="X46:X51" si="6">G46*I46</f>
        <v>236.74</v>
      </c>
      <c r="Y46" s="16">
        <f t="shared" ref="Y46:Z51" si="7">X46*4</f>
        <v>946.96</v>
      </c>
      <c r="Z46" s="16">
        <f t="shared" si="7"/>
        <v>3787.84</v>
      </c>
    </row>
    <row r="47" spans="2:26" ht="15.75" thickBot="1" x14ac:dyDescent="0.3">
      <c r="B47" s="11"/>
      <c r="C47" s="12" t="s">
        <v>27</v>
      </c>
      <c r="D47" s="12"/>
      <c r="E47" s="12"/>
      <c r="F47" s="12"/>
      <c r="G47" s="15">
        <v>43.89</v>
      </c>
      <c r="H47" s="15"/>
      <c r="I47" s="15">
        <v>26.5</v>
      </c>
      <c r="J47" s="15"/>
      <c r="K47" s="15"/>
      <c r="L47" s="15"/>
      <c r="M47" s="28"/>
      <c r="N47" s="28"/>
      <c r="O47" s="28"/>
      <c r="P47" s="15"/>
      <c r="Q47" s="34"/>
      <c r="R47" s="15"/>
      <c r="S47" s="15"/>
      <c r="T47" s="28"/>
      <c r="U47" s="15"/>
      <c r="V47" s="15"/>
      <c r="W47" s="15"/>
      <c r="X47" s="15">
        <f t="shared" si="6"/>
        <v>1163.085</v>
      </c>
      <c r="Y47" s="16">
        <f t="shared" si="7"/>
        <v>4652.34</v>
      </c>
      <c r="Z47" s="16">
        <f t="shared" si="7"/>
        <v>18609.36</v>
      </c>
    </row>
    <row r="48" spans="2:26" ht="15.75" thickBot="1" x14ac:dyDescent="0.3">
      <c r="B48" s="11"/>
      <c r="C48" s="12" t="s">
        <v>28</v>
      </c>
      <c r="D48" s="12"/>
      <c r="E48" s="12"/>
      <c r="F48" s="12"/>
      <c r="G48" s="15">
        <v>2.66</v>
      </c>
      <c r="H48" s="15"/>
      <c r="I48" s="15">
        <v>32.75</v>
      </c>
      <c r="J48" s="15"/>
      <c r="K48" s="15"/>
      <c r="L48" s="15"/>
      <c r="M48" s="28"/>
      <c r="N48" s="28"/>
      <c r="O48" s="28"/>
      <c r="P48" s="15"/>
      <c r="Q48" s="34"/>
      <c r="R48" s="15"/>
      <c r="S48" s="15"/>
      <c r="T48" s="28"/>
      <c r="U48" s="15"/>
      <c r="V48" s="15"/>
      <c r="W48" s="15"/>
      <c r="X48" s="15">
        <f t="shared" si="6"/>
        <v>87.115000000000009</v>
      </c>
      <c r="Y48" s="16">
        <f t="shared" si="7"/>
        <v>348.46000000000004</v>
      </c>
      <c r="Z48" s="16">
        <f t="shared" si="7"/>
        <v>1393.8400000000001</v>
      </c>
    </row>
    <row r="49" spans="2:26" ht="15.75" thickBot="1" x14ac:dyDescent="0.3">
      <c r="B49" s="11"/>
      <c r="C49" s="12" t="s">
        <v>29</v>
      </c>
      <c r="D49" s="12"/>
      <c r="E49" s="12"/>
      <c r="F49" s="12"/>
      <c r="G49" s="15">
        <v>4</v>
      </c>
      <c r="H49" s="15"/>
      <c r="I49" s="15">
        <v>14</v>
      </c>
      <c r="J49" s="15"/>
      <c r="K49" s="15"/>
      <c r="L49" s="15"/>
      <c r="M49" s="28"/>
      <c r="N49" s="28"/>
      <c r="O49" s="28"/>
      <c r="P49" s="15"/>
      <c r="Q49" s="34"/>
      <c r="R49" s="15"/>
      <c r="S49" s="15"/>
      <c r="T49" s="28"/>
      <c r="U49" s="15"/>
      <c r="V49" s="15"/>
      <c r="W49" s="15"/>
      <c r="X49" s="15">
        <f t="shared" si="6"/>
        <v>56</v>
      </c>
      <c r="Y49" s="16">
        <f t="shared" si="7"/>
        <v>224</v>
      </c>
      <c r="Z49" s="16">
        <f t="shared" si="7"/>
        <v>896</v>
      </c>
    </row>
    <row r="50" spans="2:26" ht="15.75" thickBot="1" x14ac:dyDescent="0.3">
      <c r="B50" s="4"/>
      <c r="C50" s="3" t="s">
        <v>30</v>
      </c>
      <c r="D50" s="3"/>
      <c r="E50" s="3"/>
      <c r="F50" s="3"/>
      <c r="G50" s="19">
        <v>2</v>
      </c>
      <c r="H50" s="19"/>
      <c r="I50" s="19">
        <v>47</v>
      </c>
      <c r="J50" s="19"/>
      <c r="K50" s="19"/>
      <c r="L50" s="19"/>
      <c r="M50" s="29"/>
      <c r="N50" s="29"/>
      <c r="O50" s="29"/>
      <c r="P50" s="19"/>
      <c r="Q50" s="35"/>
      <c r="R50" s="19"/>
      <c r="S50" s="19"/>
      <c r="T50" s="29"/>
      <c r="U50" s="19"/>
      <c r="V50" s="19"/>
      <c r="W50" s="19"/>
      <c r="X50" s="15">
        <f t="shared" si="6"/>
        <v>94</v>
      </c>
      <c r="Y50" s="16">
        <f t="shared" si="7"/>
        <v>376</v>
      </c>
      <c r="Z50" s="16">
        <f t="shared" si="7"/>
        <v>1504</v>
      </c>
    </row>
    <row r="51" spans="2:26" ht="15.75" thickBot="1" x14ac:dyDescent="0.3">
      <c r="B51" s="4"/>
      <c r="C51" s="3" t="s">
        <v>31</v>
      </c>
      <c r="D51" s="3"/>
      <c r="E51" s="3"/>
      <c r="F51" s="3"/>
      <c r="G51" s="19">
        <v>2</v>
      </c>
      <c r="H51" s="19"/>
      <c r="I51" s="19">
        <v>44</v>
      </c>
      <c r="J51" s="19"/>
      <c r="K51" s="19"/>
      <c r="L51" s="19"/>
      <c r="M51" s="29"/>
      <c r="N51" s="29"/>
      <c r="O51" s="29"/>
      <c r="P51" s="19"/>
      <c r="Q51" s="35"/>
      <c r="R51" s="19"/>
      <c r="S51" s="19"/>
      <c r="T51" s="29"/>
      <c r="U51" s="19"/>
      <c r="V51" s="19"/>
      <c r="W51" s="19"/>
      <c r="X51" s="15">
        <f t="shared" si="6"/>
        <v>88</v>
      </c>
      <c r="Y51" s="16">
        <f t="shared" si="7"/>
        <v>352</v>
      </c>
      <c r="Z51" s="16">
        <f t="shared" si="7"/>
        <v>1408</v>
      </c>
    </row>
    <row r="52" spans="2:26" ht="4.5" customHeight="1" thickBot="1" x14ac:dyDescent="0.3">
      <c r="B52" s="4"/>
      <c r="C52" s="3"/>
      <c r="D52" s="3"/>
      <c r="E52" s="3"/>
      <c r="F52" s="3"/>
      <c r="G52" s="19"/>
      <c r="H52" s="19"/>
      <c r="I52" s="19"/>
      <c r="J52" s="19"/>
      <c r="K52" s="19"/>
      <c r="L52" s="19"/>
      <c r="M52" s="29"/>
      <c r="N52" s="29"/>
      <c r="O52" s="29"/>
      <c r="P52" s="19"/>
      <c r="Q52" s="35"/>
      <c r="R52" s="19"/>
      <c r="S52" s="19"/>
      <c r="T52" s="29"/>
      <c r="U52" s="19"/>
      <c r="V52" s="19"/>
      <c r="W52" s="19"/>
      <c r="X52" s="15"/>
      <c r="Y52" s="16"/>
      <c r="Z52" s="16"/>
    </row>
    <row r="53" spans="2:26" ht="15.75" customHeight="1" thickBot="1" x14ac:dyDescent="0.3">
      <c r="B53" s="4" t="s">
        <v>34</v>
      </c>
      <c r="C53" s="3"/>
      <c r="D53" s="3"/>
      <c r="E53" s="3"/>
      <c r="F53" s="3"/>
      <c r="G53" s="19"/>
      <c r="H53" s="19"/>
      <c r="I53" s="19"/>
      <c r="J53" s="19"/>
      <c r="K53" s="19"/>
      <c r="L53" s="19"/>
      <c r="M53" s="29"/>
      <c r="N53" s="29"/>
      <c r="O53" s="29"/>
      <c r="P53" s="19"/>
      <c r="Q53" s="35"/>
      <c r="R53" s="19"/>
      <c r="S53" s="19"/>
      <c r="T53" s="29"/>
      <c r="U53" s="19"/>
      <c r="V53" s="19"/>
      <c r="W53" s="19"/>
      <c r="X53" s="15">
        <f>SUM(X45:X51)</f>
        <v>2399.6400000000003</v>
      </c>
      <c r="Y53" s="16">
        <f>SUM(Y45:Y51)</f>
        <v>9598.5600000000013</v>
      </c>
      <c r="Z53" s="16">
        <f>SUM(Z45:Z51)</f>
        <v>38394.240000000005</v>
      </c>
    </row>
    <row r="54" spans="2:26" ht="15.75" thickBot="1" x14ac:dyDescent="0.3">
      <c r="B54" s="4"/>
      <c r="C54" s="3"/>
      <c r="D54" s="3"/>
      <c r="E54" s="3"/>
      <c r="F54" s="3"/>
      <c r="G54" s="19"/>
      <c r="H54" s="19"/>
      <c r="I54" s="3"/>
      <c r="J54" s="3"/>
      <c r="K54" s="3"/>
      <c r="L54" s="3"/>
      <c r="M54" s="29"/>
      <c r="N54" s="29"/>
      <c r="O54" s="29"/>
      <c r="P54" s="19"/>
      <c r="Q54" s="35"/>
      <c r="R54" s="19"/>
      <c r="S54" s="19"/>
      <c r="T54" s="29"/>
      <c r="U54" s="19"/>
      <c r="V54" s="3"/>
      <c r="W54" s="3"/>
      <c r="X54" s="17"/>
      <c r="Y54" s="18"/>
      <c r="Z54" s="18"/>
    </row>
    <row r="55" spans="2:26" ht="15.75" thickBot="1" x14ac:dyDescent="0.3">
      <c r="B55" s="11" t="s">
        <v>35</v>
      </c>
      <c r="C55" s="12" t="s">
        <v>24</v>
      </c>
      <c r="D55" s="12"/>
      <c r="E55" s="12"/>
      <c r="F55" s="12"/>
      <c r="G55" s="15">
        <v>26</v>
      </c>
      <c r="H55" s="15"/>
      <c r="I55" s="15">
        <v>39</v>
      </c>
      <c r="J55" s="15"/>
      <c r="K55" s="15"/>
      <c r="L55" s="15"/>
      <c r="M55" s="28"/>
      <c r="N55" s="28"/>
      <c r="O55" s="28"/>
      <c r="P55" s="15"/>
      <c r="Q55" s="34"/>
      <c r="R55" s="15"/>
      <c r="S55" s="15"/>
      <c r="T55" s="28"/>
      <c r="U55" s="15"/>
      <c r="V55" s="15"/>
      <c r="W55" s="15"/>
      <c r="X55" s="15">
        <f>G55*I55</f>
        <v>1014</v>
      </c>
      <c r="Y55" s="16">
        <f>X55*4</f>
        <v>4056</v>
      </c>
      <c r="Z55" s="16">
        <f>Y55*4</f>
        <v>16224</v>
      </c>
    </row>
    <row r="56" spans="2:26" ht="15.75" thickBot="1" x14ac:dyDescent="0.3">
      <c r="B56" s="11"/>
      <c r="C56" s="12" t="s">
        <v>26</v>
      </c>
      <c r="D56" s="12"/>
      <c r="E56" s="12"/>
      <c r="F56" s="12"/>
      <c r="G56" s="15">
        <v>8</v>
      </c>
      <c r="H56" s="15"/>
      <c r="I56" s="15">
        <v>44.5</v>
      </c>
      <c r="J56" s="15"/>
      <c r="K56" s="15"/>
      <c r="L56" s="15"/>
      <c r="M56" s="28"/>
      <c r="N56" s="28"/>
      <c r="O56" s="28"/>
      <c r="P56" s="15"/>
      <c r="Q56" s="34"/>
      <c r="R56" s="15"/>
      <c r="S56" s="15"/>
      <c r="T56" s="28"/>
      <c r="U56" s="15"/>
      <c r="V56" s="15"/>
      <c r="W56" s="15"/>
      <c r="X56" s="15">
        <f t="shared" ref="X56:X61" si="8">G56*I56</f>
        <v>356</v>
      </c>
      <c r="Y56" s="16">
        <f t="shared" ref="Y56:Z61" si="9">X56*4</f>
        <v>1424</v>
      </c>
      <c r="Z56" s="16">
        <f t="shared" si="9"/>
        <v>5696</v>
      </c>
    </row>
    <row r="57" spans="2:26" ht="15.75" thickBot="1" x14ac:dyDescent="0.3">
      <c r="B57" s="11"/>
      <c r="C57" s="12" t="s">
        <v>27</v>
      </c>
      <c r="D57" s="12"/>
      <c r="E57" s="12"/>
      <c r="F57" s="12"/>
      <c r="G57" s="15">
        <v>66</v>
      </c>
      <c r="H57" s="15"/>
      <c r="I57" s="15">
        <v>26.5</v>
      </c>
      <c r="J57" s="15"/>
      <c r="K57" s="15"/>
      <c r="L57" s="15"/>
      <c r="M57" s="28"/>
      <c r="N57" s="28"/>
      <c r="O57" s="28"/>
      <c r="P57" s="15"/>
      <c r="Q57" s="34"/>
      <c r="R57" s="15"/>
      <c r="S57" s="15"/>
      <c r="T57" s="28"/>
      <c r="U57" s="15"/>
      <c r="V57" s="15"/>
      <c r="W57" s="15"/>
      <c r="X57" s="15">
        <f t="shared" si="8"/>
        <v>1749</v>
      </c>
      <c r="Y57" s="16">
        <f t="shared" si="9"/>
        <v>6996</v>
      </c>
      <c r="Z57" s="16">
        <f t="shared" si="9"/>
        <v>27984</v>
      </c>
    </row>
    <row r="58" spans="2:26" ht="15.75" thickBot="1" x14ac:dyDescent="0.3">
      <c r="B58" s="11"/>
      <c r="C58" s="12" t="s">
        <v>28</v>
      </c>
      <c r="D58" s="12"/>
      <c r="E58" s="12"/>
      <c r="F58" s="12"/>
      <c r="G58" s="15">
        <v>4</v>
      </c>
      <c r="H58" s="15"/>
      <c r="I58" s="15">
        <v>32.75</v>
      </c>
      <c r="J58" s="15"/>
      <c r="K58" s="15"/>
      <c r="L58" s="15"/>
      <c r="M58" s="28"/>
      <c r="N58" s="28"/>
      <c r="O58" s="28"/>
      <c r="P58" s="15"/>
      <c r="Q58" s="34"/>
      <c r="R58" s="15"/>
      <c r="S58" s="15"/>
      <c r="T58" s="28"/>
      <c r="U58" s="15"/>
      <c r="V58" s="15"/>
      <c r="W58" s="15"/>
      <c r="X58" s="15">
        <f t="shared" si="8"/>
        <v>131</v>
      </c>
      <c r="Y58" s="16">
        <f t="shared" si="9"/>
        <v>524</v>
      </c>
      <c r="Z58" s="16">
        <f t="shared" si="9"/>
        <v>2096</v>
      </c>
    </row>
    <row r="59" spans="2:26" ht="15.75" thickBot="1" x14ac:dyDescent="0.3">
      <c r="B59" s="11"/>
      <c r="C59" s="12" t="s">
        <v>29</v>
      </c>
      <c r="D59" s="12"/>
      <c r="E59" s="12"/>
      <c r="F59" s="12"/>
      <c r="G59" s="15">
        <v>6</v>
      </c>
      <c r="H59" s="15"/>
      <c r="I59" s="15">
        <v>14</v>
      </c>
      <c r="J59" s="15"/>
      <c r="K59" s="15"/>
      <c r="L59" s="15"/>
      <c r="M59" s="28"/>
      <c r="N59" s="28"/>
      <c r="O59" s="28"/>
      <c r="P59" s="15"/>
      <c r="Q59" s="34"/>
      <c r="R59" s="15"/>
      <c r="S59" s="15"/>
      <c r="T59" s="28"/>
      <c r="U59" s="15"/>
      <c r="V59" s="15"/>
      <c r="W59" s="15"/>
      <c r="X59" s="15">
        <f t="shared" si="8"/>
        <v>84</v>
      </c>
      <c r="Y59" s="16">
        <f t="shared" si="9"/>
        <v>336</v>
      </c>
      <c r="Z59" s="16">
        <f t="shared" si="9"/>
        <v>1344</v>
      </c>
    </row>
    <row r="60" spans="2:26" ht="15.75" thickBot="1" x14ac:dyDescent="0.3">
      <c r="B60" s="4"/>
      <c r="C60" s="3" t="s">
        <v>30</v>
      </c>
      <c r="D60" s="3"/>
      <c r="E60" s="3"/>
      <c r="F60" s="3"/>
      <c r="G60" s="19">
        <v>3</v>
      </c>
      <c r="H60" s="19"/>
      <c r="I60" s="19">
        <v>47</v>
      </c>
      <c r="J60" s="19"/>
      <c r="K60" s="19"/>
      <c r="L60" s="19"/>
      <c r="M60" s="29"/>
      <c r="N60" s="29"/>
      <c r="O60" s="29"/>
      <c r="P60" s="19"/>
      <c r="Q60" s="35"/>
      <c r="R60" s="19"/>
      <c r="S60" s="19"/>
      <c r="T60" s="29"/>
      <c r="U60" s="19"/>
      <c r="V60" s="19"/>
      <c r="W60" s="19"/>
      <c r="X60" s="15">
        <f t="shared" si="8"/>
        <v>141</v>
      </c>
      <c r="Y60" s="16">
        <f t="shared" si="9"/>
        <v>564</v>
      </c>
      <c r="Z60" s="16">
        <f t="shared" si="9"/>
        <v>2256</v>
      </c>
    </row>
    <row r="61" spans="2:26" ht="15.75" thickBot="1" x14ac:dyDescent="0.3">
      <c r="B61" s="4"/>
      <c r="C61" s="3" t="s">
        <v>31</v>
      </c>
      <c r="D61" s="3"/>
      <c r="E61" s="3"/>
      <c r="F61" s="3"/>
      <c r="G61" s="19">
        <v>3</v>
      </c>
      <c r="H61" s="19"/>
      <c r="I61" s="19">
        <v>44</v>
      </c>
      <c r="J61" s="19"/>
      <c r="K61" s="19"/>
      <c r="L61" s="19"/>
      <c r="M61" s="29"/>
      <c r="N61" s="29"/>
      <c r="O61" s="29"/>
      <c r="P61" s="19"/>
      <c r="Q61" s="35"/>
      <c r="R61" s="19"/>
      <c r="S61" s="19"/>
      <c r="T61" s="29"/>
      <c r="U61" s="19"/>
      <c r="V61" s="19"/>
      <c r="W61" s="19"/>
      <c r="X61" s="15">
        <f t="shared" si="8"/>
        <v>132</v>
      </c>
      <c r="Y61" s="16">
        <f t="shared" si="9"/>
        <v>528</v>
      </c>
      <c r="Z61" s="16">
        <f t="shared" si="9"/>
        <v>2112</v>
      </c>
    </row>
    <row r="62" spans="2:26" ht="4.5" customHeight="1" thickBot="1" x14ac:dyDescent="0.3">
      <c r="B62" s="4"/>
      <c r="C62" s="3"/>
      <c r="D62" s="3"/>
      <c r="E62" s="3"/>
      <c r="F62" s="3"/>
      <c r="G62" s="19"/>
      <c r="H62" s="19"/>
      <c r="I62" s="19"/>
      <c r="J62" s="19"/>
      <c r="K62" s="19"/>
      <c r="L62" s="19"/>
      <c r="M62" s="29"/>
      <c r="N62" s="29"/>
      <c r="O62" s="29"/>
      <c r="P62" s="19"/>
      <c r="Q62" s="35"/>
      <c r="R62" s="19"/>
      <c r="S62" s="19"/>
      <c r="T62" s="29"/>
      <c r="U62" s="19"/>
      <c r="V62" s="19"/>
      <c r="W62" s="19"/>
      <c r="X62" s="15"/>
      <c r="Y62" s="16"/>
      <c r="Z62" s="16"/>
    </row>
    <row r="63" spans="2:26" ht="16.5" customHeight="1" thickBot="1" x14ac:dyDescent="0.3">
      <c r="B63" s="4"/>
      <c r="C63" s="3"/>
      <c r="D63" s="3"/>
      <c r="E63" s="3"/>
      <c r="F63" s="3"/>
      <c r="G63" s="19"/>
      <c r="H63" s="19"/>
      <c r="I63" s="19"/>
      <c r="J63" s="19"/>
      <c r="K63" s="19"/>
      <c r="L63" s="19"/>
      <c r="M63" s="29"/>
      <c r="N63" s="29"/>
      <c r="O63" s="29"/>
      <c r="P63" s="19"/>
      <c r="Q63" s="35"/>
      <c r="R63" s="19"/>
      <c r="S63" s="19"/>
      <c r="T63" s="29"/>
      <c r="U63" s="19"/>
      <c r="V63" s="19"/>
      <c r="W63" s="19"/>
      <c r="X63" s="15">
        <f>SUM(X55:X62)</f>
        <v>3607</v>
      </c>
      <c r="Y63" s="16">
        <f>SUM(Y55:Y62)</f>
        <v>14428</v>
      </c>
      <c r="Z63" s="16">
        <f>SUM(Z55:Z62)</f>
        <v>57712</v>
      </c>
    </row>
    <row r="64" spans="2:26" ht="15.75" thickBot="1" x14ac:dyDescent="0.3">
      <c r="B64" s="4"/>
      <c r="C64" s="3"/>
      <c r="D64" s="3"/>
      <c r="E64" s="3"/>
      <c r="F64" s="3"/>
      <c r="G64" s="19"/>
      <c r="H64" s="19"/>
      <c r="I64" s="19"/>
      <c r="J64" s="19"/>
      <c r="K64" s="19"/>
      <c r="L64" s="19"/>
      <c r="M64" s="29"/>
      <c r="N64" s="29"/>
      <c r="O64" s="29"/>
      <c r="P64" s="19"/>
      <c r="Q64" s="35"/>
      <c r="R64" s="19"/>
      <c r="S64" s="19"/>
      <c r="T64" s="29"/>
      <c r="U64" s="19"/>
      <c r="V64" s="19"/>
      <c r="W64" s="19"/>
      <c r="X64" s="15"/>
      <c r="Y64" s="16"/>
      <c r="Z64" s="16"/>
    </row>
    <row r="65" spans="2:26" ht="15.75" thickBot="1" x14ac:dyDescent="0.3">
      <c r="B65" s="11" t="s">
        <v>36</v>
      </c>
      <c r="C65" s="12" t="s">
        <v>24</v>
      </c>
      <c r="D65" s="12"/>
      <c r="E65" s="12"/>
      <c r="F65" s="12"/>
      <c r="G65" s="15">
        <v>320</v>
      </c>
      <c r="H65" s="15"/>
      <c r="I65" s="15">
        <v>39</v>
      </c>
      <c r="J65" s="15"/>
      <c r="K65" s="15"/>
      <c r="L65" s="15"/>
      <c r="M65" s="28"/>
      <c r="N65" s="28"/>
      <c r="O65" s="28"/>
      <c r="P65" s="15"/>
      <c r="Q65" s="34"/>
      <c r="R65" s="15"/>
      <c r="S65" s="15"/>
      <c r="T65" s="28"/>
      <c r="U65" s="15"/>
      <c r="V65" s="15"/>
      <c r="W65" s="15"/>
      <c r="X65" s="15">
        <f>G65*I65</f>
        <v>12480</v>
      </c>
      <c r="Y65" s="16">
        <f>X65*4</f>
        <v>49920</v>
      </c>
      <c r="Z65" s="16">
        <f>Y65*4</f>
        <v>199680</v>
      </c>
    </row>
    <row r="66" spans="2:26" ht="15.75" thickBot="1" x14ac:dyDescent="0.3">
      <c r="B66" s="11"/>
      <c r="C66" s="12" t="s">
        <v>26</v>
      </c>
      <c r="D66" s="12"/>
      <c r="E66" s="12"/>
      <c r="F66" s="12"/>
      <c r="G66" s="15">
        <v>100</v>
      </c>
      <c r="H66" s="15"/>
      <c r="I66" s="15">
        <v>44.5</v>
      </c>
      <c r="J66" s="15"/>
      <c r="K66" s="15"/>
      <c r="L66" s="15"/>
      <c r="M66" s="28"/>
      <c r="N66" s="28"/>
      <c r="O66" s="28"/>
      <c r="P66" s="15"/>
      <c r="Q66" s="34"/>
      <c r="R66" s="15"/>
      <c r="S66" s="15"/>
      <c r="T66" s="28"/>
      <c r="U66" s="15"/>
      <c r="V66" s="15"/>
      <c r="W66" s="15"/>
      <c r="X66" s="15">
        <f t="shared" ref="X66:X71" si="10">G66*I66</f>
        <v>4450</v>
      </c>
      <c r="Y66" s="16">
        <f t="shared" ref="Y66:Z71" si="11">X66*4</f>
        <v>17800</v>
      </c>
      <c r="Z66" s="16">
        <f t="shared" si="11"/>
        <v>71200</v>
      </c>
    </row>
    <row r="67" spans="2:26" ht="15.75" thickBot="1" x14ac:dyDescent="0.3">
      <c r="B67" s="11"/>
      <c r="C67" s="12" t="s">
        <v>27</v>
      </c>
      <c r="D67" s="12"/>
      <c r="E67" s="12"/>
      <c r="F67" s="12"/>
      <c r="G67" s="15">
        <v>800</v>
      </c>
      <c r="H67" s="15"/>
      <c r="I67" s="15">
        <v>26.5</v>
      </c>
      <c r="J67" s="15"/>
      <c r="K67" s="15"/>
      <c r="L67" s="15"/>
      <c r="M67" s="28"/>
      <c r="N67" s="28"/>
      <c r="O67" s="28"/>
      <c r="P67" s="15"/>
      <c r="Q67" s="34"/>
      <c r="R67" s="15"/>
      <c r="S67" s="15"/>
      <c r="T67" s="28"/>
      <c r="U67" s="15"/>
      <c r="V67" s="15"/>
      <c r="W67" s="15"/>
      <c r="X67" s="15">
        <f t="shared" si="10"/>
        <v>21200</v>
      </c>
      <c r="Y67" s="16">
        <f t="shared" si="11"/>
        <v>84800</v>
      </c>
      <c r="Z67" s="16">
        <f t="shared" si="11"/>
        <v>339200</v>
      </c>
    </row>
    <row r="68" spans="2:26" ht="15.75" thickBot="1" x14ac:dyDescent="0.3">
      <c r="B68" s="11"/>
      <c r="C68" s="12" t="s">
        <v>28</v>
      </c>
      <c r="D68" s="12"/>
      <c r="E68" s="12"/>
      <c r="F68" s="12"/>
      <c r="G68" s="15">
        <v>50</v>
      </c>
      <c r="H68" s="15"/>
      <c r="I68" s="15">
        <v>32.75</v>
      </c>
      <c r="J68" s="15"/>
      <c r="K68" s="15"/>
      <c r="L68" s="15"/>
      <c r="M68" s="28"/>
      <c r="N68" s="28"/>
      <c r="O68" s="28"/>
      <c r="P68" s="15"/>
      <c r="Q68" s="34"/>
      <c r="R68" s="15"/>
      <c r="S68" s="15"/>
      <c r="T68" s="28"/>
      <c r="U68" s="15"/>
      <c r="V68" s="15"/>
      <c r="W68" s="15"/>
      <c r="X68" s="15">
        <f t="shared" si="10"/>
        <v>1637.5</v>
      </c>
      <c r="Y68" s="16">
        <f t="shared" si="11"/>
        <v>6550</v>
      </c>
      <c r="Z68" s="16">
        <f t="shared" si="11"/>
        <v>26200</v>
      </c>
    </row>
    <row r="69" spans="2:26" ht="15.75" thickBot="1" x14ac:dyDescent="0.3">
      <c r="B69" s="11"/>
      <c r="C69" s="12" t="s">
        <v>29</v>
      </c>
      <c r="D69" s="12"/>
      <c r="E69" s="12"/>
      <c r="F69" s="12"/>
      <c r="G69" s="15">
        <v>75</v>
      </c>
      <c r="H69" s="15"/>
      <c r="I69" s="15">
        <v>14</v>
      </c>
      <c r="J69" s="15"/>
      <c r="K69" s="15"/>
      <c r="L69" s="15"/>
      <c r="M69" s="28"/>
      <c r="N69" s="28"/>
      <c r="O69" s="28"/>
      <c r="P69" s="15"/>
      <c r="Q69" s="34"/>
      <c r="R69" s="15"/>
      <c r="S69" s="15"/>
      <c r="T69" s="28"/>
      <c r="U69" s="15"/>
      <c r="V69" s="15"/>
      <c r="W69" s="15"/>
      <c r="X69" s="15">
        <f t="shared" si="10"/>
        <v>1050</v>
      </c>
      <c r="Y69" s="16">
        <f t="shared" si="11"/>
        <v>4200</v>
      </c>
      <c r="Z69" s="16">
        <f t="shared" si="11"/>
        <v>16800</v>
      </c>
    </row>
    <row r="70" spans="2:26" ht="15.75" thickBot="1" x14ac:dyDescent="0.3">
      <c r="B70" s="4"/>
      <c r="C70" s="3" t="s">
        <v>30</v>
      </c>
      <c r="D70" s="3"/>
      <c r="E70" s="3"/>
      <c r="F70" s="3"/>
      <c r="G70" s="19">
        <v>30</v>
      </c>
      <c r="H70" s="19"/>
      <c r="I70" s="19">
        <v>47</v>
      </c>
      <c r="J70" s="19"/>
      <c r="K70" s="19"/>
      <c r="L70" s="19"/>
      <c r="M70" s="29"/>
      <c r="N70" s="29"/>
      <c r="O70" s="29"/>
      <c r="P70" s="19"/>
      <c r="Q70" s="35"/>
      <c r="R70" s="19"/>
      <c r="S70" s="19"/>
      <c r="T70" s="29"/>
      <c r="U70" s="19"/>
      <c r="V70" s="19"/>
      <c r="W70" s="19"/>
      <c r="X70" s="15">
        <f t="shared" si="10"/>
        <v>1410</v>
      </c>
      <c r="Y70" s="16">
        <f t="shared" si="11"/>
        <v>5640</v>
      </c>
      <c r="Z70" s="16">
        <f t="shared" si="11"/>
        <v>22560</v>
      </c>
    </row>
    <row r="71" spans="2:26" ht="15.75" thickBot="1" x14ac:dyDescent="0.3">
      <c r="B71" s="4"/>
      <c r="C71" s="3" t="s">
        <v>31</v>
      </c>
      <c r="D71" s="3"/>
      <c r="E71" s="3"/>
      <c r="F71" s="3"/>
      <c r="G71" s="19">
        <v>30</v>
      </c>
      <c r="H71" s="19"/>
      <c r="I71" s="19">
        <v>44</v>
      </c>
      <c r="J71" s="19"/>
      <c r="K71" s="19"/>
      <c r="L71" s="19"/>
      <c r="M71" s="29"/>
      <c r="N71" s="29"/>
      <c r="O71" s="29"/>
      <c r="P71" s="19"/>
      <c r="Q71" s="35"/>
      <c r="R71" s="19"/>
      <c r="S71" s="19"/>
      <c r="T71" s="29"/>
      <c r="U71" s="19"/>
      <c r="V71" s="19"/>
      <c r="W71" s="19"/>
      <c r="X71" s="15">
        <f t="shared" si="10"/>
        <v>1320</v>
      </c>
      <c r="Y71" s="16">
        <f t="shared" si="11"/>
        <v>5280</v>
      </c>
      <c r="Z71" s="16">
        <f t="shared" si="11"/>
        <v>21120</v>
      </c>
    </row>
    <row r="72" spans="2:26" ht="4.5" customHeight="1" thickBot="1" x14ac:dyDescent="0.3">
      <c r="B72" s="4"/>
      <c r="C72" s="3"/>
      <c r="D72" s="3"/>
      <c r="E72" s="3"/>
      <c r="F72" s="3"/>
      <c r="G72" s="19"/>
      <c r="H72" s="19"/>
      <c r="I72" s="19"/>
      <c r="J72" s="19"/>
      <c r="K72" s="19"/>
      <c r="L72" s="19"/>
      <c r="M72" s="29"/>
      <c r="N72" s="29"/>
      <c r="O72" s="29"/>
      <c r="P72" s="19"/>
      <c r="Q72" s="35"/>
      <c r="R72" s="19"/>
      <c r="S72" s="19"/>
      <c r="T72" s="29"/>
      <c r="U72" s="19"/>
      <c r="V72" s="19"/>
      <c r="W72" s="19"/>
      <c r="X72" s="15"/>
      <c r="Y72" s="16"/>
      <c r="Z72" s="16"/>
    </row>
    <row r="73" spans="2:26" ht="15.75" thickBot="1" x14ac:dyDescent="0.3">
      <c r="B73" s="4"/>
      <c r="C73" s="3"/>
      <c r="D73" s="3"/>
      <c r="E73" s="3"/>
      <c r="F73" s="3"/>
      <c r="G73" s="19"/>
      <c r="H73" s="19"/>
      <c r="I73" s="19"/>
      <c r="J73" s="19"/>
      <c r="K73" s="19"/>
      <c r="L73" s="19"/>
      <c r="M73" s="29"/>
      <c r="N73" s="29"/>
      <c r="O73" s="29"/>
      <c r="P73" s="19"/>
      <c r="Q73" s="35"/>
      <c r="R73" s="19"/>
      <c r="S73" s="19"/>
      <c r="T73" s="29"/>
      <c r="U73" s="19"/>
      <c r="V73" s="19"/>
      <c r="W73" s="19"/>
      <c r="X73" s="15">
        <f>SUM(X65:X72)</f>
        <v>43547.5</v>
      </c>
      <c r="Y73" s="16">
        <f>SUM(Y65:Y72)</f>
        <v>174190</v>
      </c>
      <c r="Z73" s="16">
        <f>SUM(Z65:Z72)</f>
        <v>696760</v>
      </c>
    </row>
    <row r="74" spans="2:26" ht="15.75" thickBot="1" x14ac:dyDescent="0.3">
      <c r="B74" s="13"/>
      <c r="C74" s="14"/>
      <c r="D74" s="14"/>
      <c r="E74" s="14"/>
      <c r="F74" s="14"/>
      <c r="G74" s="20"/>
      <c r="H74" s="20"/>
      <c r="I74" s="20"/>
      <c r="J74" s="20"/>
      <c r="K74" s="20"/>
      <c r="L74" s="20"/>
      <c r="M74" s="30"/>
      <c r="N74" s="30"/>
      <c r="O74" s="30"/>
      <c r="P74" s="20"/>
      <c r="Q74" s="36"/>
      <c r="R74" s="20"/>
      <c r="S74" s="20"/>
      <c r="T74" s="30"/>
      <c r="U74" s="20"/>
      <c r="V74" s="20"/>
      <c r="W74" s="20"/>
      <c r="X74" s="21"/>
      <c r="Y74" s="22"/>
      <c r="Z74" s="22"/>
    </row>
    <row r="75" spans="2:26" ht="46.5" thickTop="1" thickBot="1" x14ac:dyDescent="0.3">
      <c r="B75" s="5"/>
      <c r="C75" s="6"/>
      <c r="D75" s="6"/>
      <c r="E75" s="6"/>
      <c r="F75" s="6"/>
      <c r="G75" s="25"/>
      <c r="H75" s="25"/>
      <c r="I75" s="6"/>
      <c r="J75" s="6"/>
      <c r="K75" s="6"/>
      <c r="L75" s="6"/>
      <c r="M75" s="31"/>
      <c r="N75" s="31"/>
      <c r="O75" s="31"/>
      <c r="P75" s="25"/>
      <c r="Q75" s="37"/>
      <c r="R75" s="25"/>
      <c r="S75" s="25"/>
      <c r="T75" s="31"/>
      <c r="U75" s="25"/>
      <c r="V75" s="6"/>
      <c r="W75" s="6"/>
      <c r="X75" s="8">
        <f>SUM(Y50:Y71)</f>
        <v>213372.56</v>
      </c>
      <c r="Y75" s="7" t="s">
        <v>18</v>
      </c>
      <c r="Z75" s="7" t="s">
        <v>18</v>
      </c>
    </row>
    <row r="76" spans="2:26" ht="15.75" thickTop="1" x14ac:dyDescent="0.25"/>
  </sheetData>
  <pageMargins left="0.7" right="0.7" top="0.75" bottom="0.75" header="0.3" footer="0.3"/>
  <pageSetup paperSize="5" scale="4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RFP No. P19009</vt:lpstr>
      <vt:lpstr>Sheet1</vt:lpstr>
      <vt:lpstr>Sheet2</vt:lpstr>
      <vt:lpstr>Sheet3</vt:lpstr>
      <vt:lpstr>'RFP No. P19009'!Print_Area</vt:lpstr>
      <vt:lpstr>Sheet1!Print_Area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Carnahan, Keisha L</dc:creator>
  <cp:lastModifiedBy>Carnahan, Keisha</cp:lastModifiedBy>
  <cp:lastPrinted>2019-10-18T19:26:59Z</cp:lastPrinted>
  <dcterms:created xsi:type="dcterms:W3CDTF">2014-05-27T22:41:00Z</dcterms:created>
  <dcterms:modified xsi:type="dcterms:W3CDTF">2019-10-21T15:34:25Z</dcterms:modified>
</cp:coreProperties>
</file>